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6360" windowHeight="6150" activeTab="1"/>
  </bookViews>
  <sheets>
    <sheet name="Движение ден средств" sheetId="1" r:id="rId1"/>
    <sheet name="Услуги" sheetId="2" r:id="rId2"/>
  </sheets>
  <definedNames>
    <definedName name="table1" localSheetId="0">'Движение ден средств'!#REF!</definedName>
  </definedNames>
  <calcPr calcId="145621"/>
</workbook>
</file>

<file path=xl/calcChain.xml><?xml version="1.0" encoding="utf-8"?>
<calcChain xmlns="http://schemas.openxmlformats.org/spreadsheetml/2006/main">
  <c r="L10" i="2" l="1"/>
  <c r="C7" i="2"/>
  <c r="C6" i="2" s="1"/>
  <c r="D7" i="2"/>
  <c r="D6" i="2" s="1"/>
  <c r="E7" i="2"/>
  <c r="E6" i="2" s="1"/>
  <c r="F7" i="2"/>
  <c r="G7" i="2" s="1"/>
  <c r="M13" i="2"/>
  <c r="L13" i="2"/>
  <c r="K13" i="2"/>
  <c r="J13" i="2"/>
  <c r="I13" i="2"/>
  <c r="H7" i="2" l="1"/>
  <c r="G6" i="2"/>
  <c r="F6" i="2"/>
  <c r="I7" i="2" l="1"/>
  <c r="H6" i="2"/>
  <c r="I6" i="2" l="1"/>
  <c r="J7" i="2"/>
  <c r="F38" i="2"/>
  <c r="E38" i="2"/>
  <c r="D38" i="2"/>
  <c r="C38" i="2"/>
  <c r="C39" i="2"/>
  <c r="D18" i="1"/>
  <c r="E18" i="1"/>
  <c r="O18" i="1" s="1"/>
  <c r="C18" i="1"/>
  <c r="F17" i="1"/>
  <c r="C17" i="1"/>
  <c r="E17" i="1"/>
  <c r="D17" i="1"/>
  <c r="D6" i="1"/>
  <c r="F6" i="1"/>
  <c r="G6" i="1"/>
  <c r="H6" i="1"/>
  <c r="I6" i="1"/>
  <c r="K6" i="1"/>
  <c r="L6" i="1"/>
  <c r="M6" i="1"/>
  <c r="N6" i="1"/>
  <c r="C10" i="1"/>
  <c r="D10" i="1"/>
  <c r="E10" i="1"/>
  <c r="C14" i="1"/>
  <c r="C15" i="1"/>
  <c r="D15" i="1"/>
  <c r="E15" i="1"/>
  <c r="F15" i="1"/>
  <c r="G15" i="1"/>
  <c r="H15" i="1"/>
  <c r="I15" i="1"/>
  <c r="J15" i="1"/>
  <c r="K15" i="1"/>
  <c r="L15" i="1"/>
  <c r="M15" i="1"/>
  <c r="N15" i="1"/>
  <c r="D5" i="1"/>
  <c r="G5" i="1"/>
  <c r="H5" i="1"/>
  <c r="I5" i="1"/>
  <c r="J5" i="1"/>
  <c r="K5" i="1"/>
  <c r="L5" i="1"/>
  <c r="M5" i="1"/>
  <c r="N5" i="1"/>
  <c r="G11" i="2"/>
  <c r="F11" i="2"/>
  <c r="M14" i="2"/>
  <c r="L14" i="2"/>
  <c r="K14" i="2"/>
  <c r="F5" i="1"/>
  <c r="E5" i="1"/>
  <c r="F25" i="2"/>
  <c r="F9" i="1" s="1"/>
  <c r="E25" i="2"/>
  <c r="E9" i="1" s="1"/>
  <c r="D25" i="2"/>
  <c r="C25" i="2"/>
  <c r="C9" i="1" s="1"/>
  <c r="E6" i="1"/>
  <c r="O31" i="2"/>
  <c r="D30" i="2"/>
  <c r="D14" i="1" s="1"/>
  <c r="E27" i="2"/>
  <c r="E28" i="2" s="1"/>
  <c r="E12" i="1" s="1"/>
  <c r="D27" i="2"/>
  <c r="D28" i="2" s="1"/>
  <c r="D12" i="1" s="1"/>
  <c r="C27" i="2"/>
  <c r="C28" i="2" s="1"/>
  <c r="C12" i="1" s="1"/>
  <c r="N26" i="2"/>
  <c r="N27" i="2" s="1"/>
  <c r="N11" i="1" s="1"/>
  <c r="M26" i="2"/>
  <c r="M10" i="1" s="1"/>
  <c r="L26" i="2"/>
  <c r="L27" i="2" s="1"/>
  <c r="L11" i="1" s="1"/>
  <c r="K26" i="2"/>
  <c r="K10" i="1" s="1"/>
  <c r="J26" i="2"/>
  <c r="J27" i="2" s="1"/>
  <c r="J11" i="1" s="1"/>
  <c r="I26" i="2"/>
  <c r="I10" i="1" s="1"/>
  <c r="H26" i="2"/>
  <c r="H27" i="2" s="1"/>
  <c r="H11" i="1" s="1"/>
  <c r="G26" i="2"/>
  <c r="G10" i="1" s="1"/>
  <c r="F26" i="2"/>
  <c r="F27" i="2" s="1"/>
  <c r="F11" i="1" s="1"/>
  <c r="N25" i="2"/>
  <c r="N9" i="1" s="1"/>
  <c r="M25" i="2"/>
  <c r="M9" i="1" s="1"/>
  <c r="L25" i="2"/>
  <c r="L9" i="1" s="1"/>
  <c r="K25" i="2"/>
  <c r="K9" i="1" s="1"/>
  <c r="J25" i="2"/>
  <c r="J9" i="1" s="1"/>
  <c r="I25" i="2"/>
  <c r="I9" i="1" s="1"/>
  <c r="H25" i="2"/>
  <c r="H9" i="1" s="1"/>
  <c r="G25" i="2"/>
  <c r="G9" i="1" s="1"/>
  <c r="N8" i="1"/>
  <c r="M8" i="1"/>
  <c r="L8" i="1"/>
  <c r="K8" i="1"/>
  <c r="J8" i="1"/>
  <c r="I8" i="1"/>
  <c r="H8" i="1"/>
  <c r="G8" i="1"/>
  <c r="F8" i="1"/>
  <c r="E8" i="1"/>
  <c r="D8" i="1"/>
  <c r="C24" i="2"/>
  <c r="J23" i="2"/>
  <c r="K23" i="2" s="1"/>
  <c r="L23" i="2" s="1"/>
  <c r="M23" i="2" s="1"/>
  <c r="N23" i="2" s="1"/>
  <c r="N7" i="1" s="1"/>
  <c r="C23" i="2"/>
  <c r="C7" i="1" s="1"/>
  <c r="J22" i="2"/>
  <c r="J6" i="1" s="1"/>
  <c r="C22" i="2"/>
  <c r="C21" i="2"/>
  <c r="K7" i="2" l="1"/>
  <c r="J6" i="2"/>
  <c r="O42" i="2"/>
  <c r="O21" i="2"/>
  <c r="O39" i="2"/>
  <c r="O25" i="2"/>
  <c r="D11" i="1"/>
  <c r="N10" i="1"/>
  <c r="L10" i="1"/>
  <c r="J10" i="1"/>
  <c r="H10" i="1"/>
  <c r="F10" i="1"/>
  <c r="D9" i="1"/>
  <c r="L7" i="1"/>
  <c r="J7" i="1"/>
  <c r="C5" i="1"/>
  <c r="O22" i="2"/>
  <c r="O24" i="2"/>
  <c r="E11" i="1"/>
  <c r="C11" i="1"/>
  <c r="C8" i="1"/>
  <c r="M7" i="1"/>
  <c r="K7" i="1"/>
  <c r="C6" i="1"/>
  <c r="O38" i="2"/>
  <c r="D23" i="2"/>
  <c r="G27" i="2"/>
  <c r="I27" i="2"/>
  <c r="I11" i="1" s="1"/>
  <c r="K27" i="2"/>
  <c r="M27" i="2"/>
  <c r="F28" i="2"/>
  <c r="F12" i="1" s="1"/>
  <c r="H28" i="2"/>
  <c r="H12" i="1" s="1"/>
  <c r="J28" i="2"/>
  <c r="J12" i="1" s="1"/>
  <c r="L28" i="2"/>
  <c r="L12" i="1" s="1"/>
  <c r="N28" i="2"/>
  <c r="N12" i="1" s="1"/>
  <c r="E30" i="2"/>
  <c r="O26" i="2"/>
  <c r="L7" i="2" l="1"/>
  <c r="K6" i="2"/>
  <c r="F30" i="2"/>
  <c r="E14" i="1"/>
  <c r="M28" i="2"/>
  <c r="M12" i="1" s="1"/>
  <c r="M11" i="1"/>
  <c r="E23" i="2"/>
  <c r="D7" i="1"/>
  <c r="K28" i="2"/>
  <c r="K12" i="1" s="1"/>
  <c r="K11" i="1"/>
  <c r="G28" i="2"/>
  <c r="G12" i="1" s="1"/>
  <c r="G11" i="1"/>
  <c r="O27" i="2"/>
  <c r="I28" i="2"/>
  <c r="M7" i="2" l="1"/>
  <c r="L6" i="2"/>
  <c r="O28" i="2"/>
  <c r="I12" i="1"/>
  <c r="F23" i="2"/>
  <c r="E7" i="1"/>
  <c r="G30" i="2"/>
  <c r="F14" i="1"/>
  <c r="C10" i="2"/>
  <c r="D10" i="2"/>
  <c r="D9" i="2" s="1"/>
  <c r="E10" i="2"/>
  <c r="F10" i="2"/>
  <c r="F9" i="2" s="1"/>
  <c r="G10" i="2"/>
  <c r="G9" i="2" s="1"/>
  <c r="H10" i="2"/>
  <c r="C13" i="2"/>
  <c r="C12" i="2" s="1"/>
  <c r="D13" i="2"/>
  <c r="D12" i="2" s="1"/>
  <c r="H13" i="2"/>
  <c r="N13" i="2"/>
  <c r="C16" i="2"/>
  <c r="C15" i="2" s="1"/>
  <c r="D16" i="2"/>
  <c r="D15" i="2" s="1"/>
  <c r="E16" i="2"/>
  <c r="E15" i="2" s="1"/>
  <c r="F16" i="2"/>
  <c r="F15" i="2" s="1"/>
  <c r="G16" i="2"/>
  <c r="F12" i="2"/>
  <c r="E12" i="2"/>
  <c r="E9" i="2"/>
  <c r="C9" i="2"/>
  <c r="F3" i="2"/>
  <c r="E4" i="2"/>
  <c r="E3" i="2" s="1"/>
  <c r="D4" i="2"/>
  <c r="D3" i="2" s="1"/>
  <c r="C4" i="2"/>
  <c r="C3" i="2" s="1"/>
  <c r="M6" i="2" l="1"/>
  <c r="N7" i="2"/>
  <c r="N6" i="2" s="1"/>
  <c r="H30" i="2"/>
  <c r="G14" i="1"/>
  <c r="G23" i="2"/>
  <c r="F7" i="1"/>
  <c r="D18" i="2"/>
  <c r="F18" i="2"/>
  <c r="G15" i="2"/>
  <c r="G3" i="2"/>
  <c r="H15" i="2"/>
  <c r="C18" i="2"/>
  <c r="E18" i="2"/>
  <c r="G12" i="2"/>
  <c r="H9" i="2"/>
  <c r="O5" i="1"/>
  <c r="O6" i="1"/>
  <c r="O8" i="1"/>
  <c r="O9" i="1"/>
  <c r="O10" i="1"/>
  <c r="O11" i="1"/>
  <c r="O12" i="1"/>
  <c r="O15" i="1"/>
  <c r="O17" i="1"/>
  <c r="O6" i="2" l="1"/>
  <c r="H4" i="2"/>
  <c r="H3" i="2" s="1"/>
  <c r="H23" i="2"/>
  <c r="G7" i="1"/>
  <c r="I30" i="2"/>
  <c r="H14" i="1"/>
  <c r="C3" i="1"/>
  <c r="C29" i="2"/>
  <c r="F3" i="1"/>
  <c r="F29" i="2"/>
  <c r="E3" i="1"/>
  <c r="E29" i="2"/>
  <c r="D3" i="1"/>
  <c r="D29" i="2"/>
  <c r="I15" i="2"/>
  <c r="H12" i="2"/>
  <c r="I9" i="2"/>
  <c r="I4" i="2" l="1"/>
  <c r="J4" i="2" s="1"/>
  <c r="G18" i="2"/>
  <c r="G3" i="1" s="1"/>
  <c r="J30" i="2"/>
  <c r="I14" i="1"/>
  <c r="I23" i="2"/>
  <c r="I7" i="1" s="1"/>
  <c r="H7" i="1"/>
  <c r="F32" i="2"/>
  <c r="F34" i="2" s="1"/>
  <c r="F13" i="1"/>
  <c r="F4" i="1" s="1"/>
  <c r="F16" i="1" s="1"/>
  <c r="F19" i="1" s="1"/>
  <c r="E32" i="2"/>
  <c r="E34" i="2" s="1"/>
  <c r="E13" i="1"/>
  <c r="E4" i="1" s="1"/>
  <c r="E16" i="1" s="1"/>
  <c r="E19" i="1" s="1"/>
  <c r="D32" i="2"/>
  <c r="D34" i="2" s="1"/>
  <c r="D13" i="1"/>
  <c r="D4" i="1" s="1"/>
  <c r="D16" i="1" s="1"/>
  <c r="D19" i="1" s="1"/>
  <c r="C32" i="2"/>
  <c r="C34" i="2" s="1"/>
  <c r="C36" i="2" s="1"/>
  <c r="C13" i="1"/>
  <c r="C4" i="1" s="1"/>
  <c r="C16" i="1" s="1"/>
  <c r="C19" i="1" s="1"/>
  <c r="J15" i="2"/>
  <c r="I12" i="2"/>
  <c r="J9" i="2"/>
  <c r="H18" i="2"/>
  <c r="I3" i="2" l="1"/>
  <c r="O23" i="2"/>
  <c r="O7" i="1"/>
  <c r="G29" i="2"/>
  <c r="G32" i="2" s="1"/>
  <c r="G34" i="2" s="1"/>
  <c r="K30" i="2"/>
  <c r="J14" i="1"/>
  <c r="D36" i="2"/>
  <c r="E36" i="2" s="1"/>
  <c r="F36" i="2" s="1"/>
  <c r="C41" i="2"/>
  <c r="D41" i="2" s="1"/>
  <c r="E41" i="2" s="1"/>
  <c r="F41" i="2" s="1"/>
  <c r="H3" i="1"/>
  <c r="H29" i="2"/>
  <c r="C20" i="1"/>
  <c r="D20" i="1" s="1"/>
  <c r="E20" i="1" s="1"/>
  <c r="F20" i="1" s="1"/>
  <c r="K15" i="2"/>
  <c r="J12" i="2"/>
  <c r="K9" i="2"/>
  <c r="K4" i="2"/>
  <c r="J3" i="2"/>
  <c r="I18" i="2"/>
  <c r="G13" i="1" l="1"/>
  <c r="G4" i="1" s="1"/>
  <c r="L30" i="2"/>
  <c r="K14" i="1"/>
  <c r="H32" i="2"/>
  <c r="H34" i="2" s="1"/>
  <c r="H13" i="1"/>
  <c r="H4" i="1" s="1"/>
  <c r="H16" i="1" s="1"/>
  <c r="H19" i="1" s="1"/>
  <c r="G41" i="2"/>
  <c r="G36" i="2"/>
  <c r="I29" i="2"/>
  <c r="I3" i="1"/>
  <c r="G16" i="1"/>
  <c r="G19" i="1" s="1"/>
  <c r="L15" i="2"/>
  <c r="K12" i="2"/>
  <c r="L9" i="2"/>
  <c r="J18" i="2"/>
  <c r="L4" i="2"/>
  <c r="K3" i="2"/>
  <c r="H36" i="2" l="1"/>
  <c r="M30" i="2"/>
  <c r="L14" i="1"/>
  <c r="I32" i="2"/>
  <c r="I34" i="2" s="1"/>
  <c r="I13" i="1"/>
  <c r="I4" i="1" s="1"/>
  <c r="I16" i="1" s="1"/>
  <c r="I19" i="1" s="1"/>
  <c r="H41" i="2"/>
  <c r="J3" i="1"/>
  <c r="J29" i="2"/>
  <c r="N15" i="2"/>
  <c r="M15" i="2"/>
  <c r="L12" i="2"/>
  <c r="N9" i="2"/>
  <c r="M9" i="2"/>
  <c r="K18" i="2"/>
  <c r="M4" i="2"/>
  <c r="L3" i="2"/>
  <c r="I36" i="2" l="1"/>
  <c r="O9" i="2"/>
  <c r="O15" i="2"/>
  <c r="N30" i="2"/>
  <c r="N14" i="1" s="1"/>
  <c r="M14" i="1"/>
  <c r="J32" i="2"/>
  <c r="J34" i="2" s="1"/>
  <c r="J13" i="1"/>
  <c r="J4" i="1" s="1"/>
  <c r="J16" i="1" s="1"/>
  <c r="J19" i="1" s="1"/>
  <c r="I41" i="2"/>
  <c r="K3" i="1"/>
  <c r="K29" i="2"/>
  <c r="G20" i="1"/>
  <c r="H20" i="1" s="1"/>
  <c r="I20" i="1" s="1"/>
  <c r="N12" i="2"/>
  <c r="M12" i="2"/>
  <c r="N3" i="2"/>
  <c r="M3" i="2"/>
  <c r="L18" i="2"/>
  <c r="J36" i="2" l="1"/>
  <c r="O30" i="2"/>
  <c r="O3" i="2"/>
  <c r="O14" i="1"/>
  <c r="O12" i="2"/>
  <c r="K32" i="2"/>
  <c r="K34" i="2" s="1"/>
  <c r="K13" i="1"/>
  <c r="K4" i="1" s="1"/>
  <c r="K16" i="1" s="1"/>
  <c r="K19" i="1" s="1"/>
  <c r="J41" i="2"/>
  <c r="L3" i="1"/>
  <c r="L29" i="2"/>
  <c r="M18" i="2"/>
  <c r="K36" i="2" l="1"/>
  <c r="K41" i="2"/>
  <c r="N18" i="2"/>
  <c r="P6" i="2" s="1"/>
  <c r="O19" i="2"/>
  <c r="L32" i="2"/>
  <c r="L34" i="2" s="1"/>
  <c r="L13" i="1"/>
  <c r="L4" i="1" s="1"/>
  <c r="L16" i="1" s="1"/>
  <c r="L19" i="1" s="1"/>
  <c r="M3" i="1"/>
  <c r="M29" i="2"/>
  <c r="J20" i="1"/>
  <c r="K20" i="1" s="1"/>
  <c r="L36" i="2" l="1"/>
  <c r="N29" i="2"/>
  <c r="O29" i="2" s="1"/>
  <c r="O33" i="2" s="1"/>
  <c r="O18" i="2"/>
  <c r="N3" i="1"/>
  <c r="O3" i="1" s="1"/>
  <c r="P15" i="2"/>
  <c r="P9" i="2"/>
  <c r="P12" i="2"/>
  <c r="P18" i="2"/>
  <c r="P3" i="2"/>
  <c r="L41" i="2"/>
  <c r="L20" i="1"/>
  <c r="M32" i="2"/>
  <c r="M34" i="2" s="1"/>
  <c r="M13" i="1"/>
  <c r="M4" i="1" s="1"/>
  <c r="M16" i="1" s="1"/>
  <c r="M19" i="1" s="1"/>
  <c r="N32" i="2"/>
  <c r="N34" i="2" s="1"/>
  <c r="N13" i="1"/>
  <c r="N4" i="1" s="1"/>
  <c r="M36" i="2" l="1"/>
  <c r="N36" i="2" s="1"/>
  <c r="M41" i="2"/>
  <c r="N41" i="2" s="1"/>
  <c r="O41" i="2" s="1"/>
  <c r="O43" i="2" s="1"/>
  <c r="O13" i="1"/>
  <c r="O34" i="2"/>
  <c r="O32" i="2"/>
  <c r="P27" i="2" s="1"/>
  <c r="M20" i="1"/>
  <c r="N16" i="1"/>
  <c r="O4" i="1"/>
  <c r="P29" i="2" l="1"/>
  <c r="O46" i="2"/>
  <c r="P25" i="2"/>
  <c r="P22" i="2"/>
  <c r="P21" i="2"/>
  <c r="P28" i="2"/>
  <c r="P26" i="2"/>
  <c r="P32" i="2"/>
  <c r="P31" i="2"/>
  <c r="P33" i="2"/>
  <c r="P24" i="2"/>
  <c r="P23" i="2"/>
  <c r="P30" i="2"/>
  <c r="P34" i="2"/>
  <c r="N19" i="1"/>
  <c r="O16" i="1"/>
  <c r="O19" i="1" l="1"/>
  <c r="N20" i="1"/>
  <c r="O20" i="1" s="1"/>
</calcChain>
</file>

<file path=xl/sharedStrings.xml><?xml version="1.0" encoding="utf-8"?>
<sst xmlns="http://schemas.openxmlformats.org/spreadsheetml/2006/main" count="119" uniqueCount="72">
  <si>
    <t>Аренда</t>
  </si>
  <si>
    <t>Показатель</t>
  </si>
  <si>
    <t>Налог 6% с доходов</t>
  </si>
  <si>
    <t>Закупка оргтехники</t>
  </si>
  <si>
    <t>Канцтовары, бумага, заправка принтера</t>
  </si>
  <si>
    <t>Страховые взносы за ИП (фиксированная сумма 36 238 руб.: 12 мес. = 3 020 руб.)</t>
  </si>
  <si>
    <t>Закупка офисной мебели</t>
  </si>
  <si>
    <t>Затраты, связ с регистр ИП (в т.ч., приобретение онлайн кассы и электр подписи)</t>
  </si>
  <si>
    <t>№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</si>
  <si>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</si>
  <si>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</si>
  <si>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</si>
  <si>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</si>
  <si>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</si>
  <si>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</si>
  <si>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</si>
  <si>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</si>
  <si>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</si>
  <si>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</si>
  <si>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</si>
  <si>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</si>
  <si>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</t>
  </si>
  <si>
    <t>5.</t>
  </si>
  <si>
    <t>6.</t>
  </si>
  <si>
    <t>НДФЛ, 13%</t>
  </si>
  <si>
    <t>Заработная плата</t>
  </si>
  <si>
    <t>Налог на ФОТ</t>
  </si>
  <si>
    <t>Итого</t>
  </si>
  <si>
    <t>Наименование услуги</t>
  </si>
  <si>
    <t>2 мес.</t>
  </si>
  <si>
    <t>3 мес.</t>
  </si>
  <si>
    <t>4 мес.</t>
  </si>
  <si>
    <t xml:space="preserve">5 мес. 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</si>
  <si>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</si>
  <si>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</si>
  <si>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</si>
  <si>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</si>
  <si>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</si>
  <si>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</si>
  <si>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</si>
  <si>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Цена</t>
  </si>
  <si>
    <t>Кол-во</t>
  </si>
  <si>
    <t>1 мес.</t>
  </si>
  <si>
    <t>Итого:</t>
  </si>
  <si>
    <t>Доля в Дох</t>
  </si>
  <si>
    <t>Поступления от реализации</t>
  </si>
  <si>
    <t>Денежные затраты, всего</t>
  </si>
  <si>
    <t>Чистый поток (стр.1-стр.2)</t>
  </si>
  <si>
    <t>Чистый поток с учетом финансирования (стр.3+стр.4)</t>
  </si>
  <si>
    <t>То же нарастающим итогом</t>
  </si>
  <si>
    <t>Реклама, продвижение сайта, соцсети</t>
  </si>
  <si>
    <t>№ п/п</t>
  </si>
  <si>
    <t>Всего:</t>
  </si>
  <si>
    <t>Доля в Расх</t>
  </si>
  <si>
    <t>Прибыль</t>
  </si>
  <si>
    <t>Прибыль нараст итогом</t>
  </si>
  <si>
    <t>Стороннее финансирование</t>
  </si>
  <si>
    <t>Собственные средства</t>
  </si>
  <si>
    <t>Денежный поток</t>
  </si>
  <si>
    <t>2.11.</t>
  </si>
  <si>
    <t>4б</t>
  </si>
  <si>
    <t>4а</t>
  </si>
  <si>
    <t>Финансирование стороннее</t>
  </si>
  <si>
    <t>Безубыточность</t>
  </si>
  <si>
    <t>Окупаемость</t>
  </si>
  <si>
    <t>Устная консультация</t>
  </si>
  <si>
    <t xml:space="preserve">Подготовка претензии </t>
  </si>
  <si>
    <t xml:space="preserve">Сбор необходимых документов </t>
  </si>
  <si>
    <t>Ведение дела в суде первой инстанции</t>
  </si>
  <si>
    <t>Составление жалобы</t>
  </si>
  <si>
    <t>Рентабельность</t>
  </si>
  <si>
    <t>Таблица движения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</si>
</sst>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66"/>
        <bgColor indexed="64"/>
      </patternFill>
    </fill>
  </fills>
  <borders count="3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horizontal="right" vertical="center" wrapText="1"/>
    </xf>
    <xf numFmtId="9" fontId="15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0" fontId="16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18" fillId="0" borderId="2" xfId="0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008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176892</xdr:colOff>
      <xdr:row>33</xdr:row>
      <xdr:rowOff>136072</xdr:rowOff>
    </xdr:from>
    <xdr:to>
      <xdr:col>6</xdr:col>
      <xdr:colOff>83344</xdr:colOff>
      <xdr:row>42</xdr:row>
      <xdr:rowOff>142876</xdr:rowOff>
    </xdr:to>
    <xdr:cxnSp macro="">
      <xdr:nvCxnSpPr>
        <xdr:cNvPr id="3" name="Прямая со стрелкой 2"/>
        <xdr:cNvCxnSpPr/>
      </xdr:nvCxnSpPr>
      <xdr:spPr>
        <a:xfrm flipH="1" flipV="1">
          <a:off x="4993821" y="10654393"/>
          <a:ext cx="1947523" cy="196623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35</xdr:row>
      <xdr:rowOff>122464</xdr:rowOff>
    </xdr:from>
    <xdr:to>
      <xdr:col>8</xdr:col>
      <xdr:colOff>71438</xdr:colOff>
      <xdr:row>43</xdr:row>
      <xdr:rowOff>154783</xdr:rowOff>
    </xdr:to>
    <xdr:cxnSp macro="">
      <xdr:nvCxnSpPr>
        <xdr:cNvPr id="5" name="Прямая со стрелкой 4"/>
        <xdr:cNvCxnSpPr/>
      </xdr:nvCxnSpPr>
      <xdr:spPr>
        <a:xfrm flipH="1" flipV="1">
          <a:off x="7633607" y="11130643"/>
          <a:ext cx="656545" cy="1705997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60" zoomScaleNormal="60" workbookViewId="0">
      <selection activeCell="D25" sqref="D25"/>
    </sheetView>
  </sheetViews>
  <sheetFormatPr defaultRowHeight="15.75" x14ac:dyDescent="0.25"/>
  <cols>
    <col min="1" max="1" width="5.625" style="14" customWidth="1"/>
    <col min="2" max="2" width="44.625" style="2" customWidth="1"/>
    <col min="3" max="14" width="10.625" style="2" customWidth="1"/>
    <col min="15" max="15" width="12.75" style="2" customWidth="1"/>
    <col min="16" max="16" width="19.75" style="2" customWidth="1"/>
    <col min="17" max="16384" width="9" style="2"/>
  </cols>
  <sheetData>
    <row r="1" spans="1:17" ht="38.25" customHeight="1" x14ac:dyDescent="0.25">
      <c r="A1" s="54" t="s">
        <v>71</v>
      </c>
    </row>
    <row r="2" spans="1:17" ht="39" customHeight="1" x14ac:dyDescent="0.25">
      <c r="A2" s="13" t="s">
        <v>8</v>
      </c>
      <c r="B2" s="4" t="s">
        <v>1</v>
      </c>
      <c r="C2" s="5">
        <v>43556</v>
      </c>
      <c r="D2" s="5">
        <v>43586</v>
      </c>
      <c r="E2" s="5">
        <v>43617</v>
      </c>
      <c r="F2" s="5">
        <v>43647</v>
      </c>
      <c r="G2" s="5">
        <v>43678</v>
      </c>
      <c r="H2" s="5">
        <v>43709</v>
      </c>
      <c r="I2" s="5">
        <v>43739</v>
      </c>
      <c r="J2" s="5">
        <v>43770</v>
      </c>
      <c r="K2" s="5">
        <v>43800</v>
      </c>
      <c r="L2" s="5">
        <v>43831</v>
      </c>
      <c r="M2" s="5">
        <v>43862</v>
      </c>
      <c r="N2" s="5">
        <v>43891</v>
      </c>
      <c r="O2" s="17" t="s">
        <v>27</v>
      </c>
    </row>
    <row r="3" spans="1:17" ht="39" customHeight="1" x14ac:dyDescent="0.25">
      <c r="A3" s="15" t="s">
        <v>9</v>
      </c>
      <c r="B3" s="6" t="s">
        <v>45</v>
      </c>
      <c r="C3" s="9">
        <f>Услуги!C18</f>
        <v>25000</v>
      </c>
      <c r="D3" s="9">
        <f>Услуги!D18</f>
        <v>40000</v>
      </c>
      <c r="E3" s="9">
        <f>Услуги!E18</f>
        <v>65500</v>
      </c>
      <c r="F3" s="9">
        <f>Услуги!F18</f>
        <v>85500</v>
      </c>
      <c r="G3" s="9">
        <f>Услуги!G18</f>
        <v>109500</v>
      </c>
      <c r="H3" s="9">
        <f>Услуги!H18</f>
        <v>137500</v>
      </c>
      <c r="I3" s="9">
        <f>Услуги!I18</f>
        <v>178500</v>
      </c>
      <c r="J3" s="9">
        <f>Услуги!J18</f>
        <v>205500</v>
      </c>
      <c r="K3" s="9">
        <f>Услуги!K18</f>
        <v>213500</v>
      </c>
      <c r="L3" s="9">
        <f>Услуги!L18</f>
        <v>241500</v>
      </c>
      <c r="M3" s="9">
        <f>Услуги!M18</f>
        <v>251500</v>
      </c>
      <c r="N3" s="9">
        <f>Услуги!N18</f>
        <v>333000</v>
      </c>
      <c r="O3" s="19">
        <f>SUM(C3:N3)</f>
        <v>1886500</v>
      </c>
    </row>
    <row r="4" spans="1:17" ht="39" customHeight="1" x14ac:dyDescent="0.25">
      <c r="A4" s="15" t="s">
        <v>10</v>
      </c>
      <c r="B4" s="6" t="s">
        <v>46</v>
      </c>
      <c r="C4" s="9">
        <f>SUM(C5:C15)</f>
        <v>135620</v>
      </c>
      <c r="D4" s="9">
        <f t="shared" ref="D4:N4" si="0">SUM(D5:D15)</f>
        <v>32920</v>
      </c>
      <c r="E4" s="9">
        <f t="shared" si="0"/>
        <v>31450</v>
      </c>
      <c r="F4" s="9">
        <f t="shared" si="0"/>
        <v>60075.199999999997</v>
      </c>
      <c r="G4" s="9">
        <f t="shared" si="0"/>
        <v>69371.5</v>
      </c>
      <c r="H4" s="9">
        <f t="shared" si="0"/>
        <v>71551.5</v>
      </c>
      <c r="I4" s="9">
        <f t="shared" si="0"/>
        <v>74511.5</v>
      </c>
      <c r="J4" s="9">
        <f t="shared" si="0"/>
        <v>192413</v>
      </c>
      <c r="K4" s="9">
        <f t="shared" si="0"/>
        <v>130249.3</v>
      </c>
      <c r="L4" s="9">
        <f t="shared" si="0"/>
        <v>147141.9</v>
      </c>
      <c r="M4" s="9">
        <f t="shared" si="0"/>
        <v>155098.20000000001</v>
      </c>
      <c r="N4" s="9">
        <f t="shared" si="0"/>
        <v>204126</v>
      </c>
      <c r="O4" s="19">
        <f>SUM(C4:N4)</f>
        <v>1304528.1000000001</v>
      </c>
      <c r="P4" s="20"/>
    </row>
    <row r="5" spans="1:17" ht="39" customHeight="1" x14ac:dyDescent="0.25">
      <c r="A5" s="16" t="s">
        <v>11</v>
      </c>
      <c r="B5" s="8" t="s">
        <v>3</v>
      </c>
      <c r="C5" s="7">
        <f>Услуги!C21</f>
        <v>52000</v>
      </c>
      <c r="D5" s="7">
        <f>Услуги!D21</f>
        <v>0</v>
      </c>
      <c r="E5" s="7">
        <f>Услуги!E21</f>
        <v>0</v>
      </c>
      <c r="F5" s="7">
        <f>Услуги!F21</f>
        <v>0</v>
      </c>
      <c r="G5" s="7">
        <f>Услуги!G21</f>
        <v>0</v>
      </c>
      <c r="H5" s="7">
        <f>Услуги!H21</f>
        <v>0</v>
      </c>
      <c r="I5" s="7">
        <f>Услуги!I21</f>
        <v>0</v>
      </c>
      <c r="J5" s="7">
        <f>Услуги!J21</f>
        <v>50000</v>
      </c>
      <c r="K5" s="7">
        <f>Услуги!K21</f>
        <v>0</v>
      </c>
      <c r="L5" s="7">
        <f>Услуги!L21</f>
        <v>0</v>
      </c>
      <c r="M5" s="7">
        <f>Услуги!M21</f>
        <v>0</v>
      </c>
      <c r="N5" s="7">
        <f>Услуги!N21</f>
        <v>0</v>
      </c>
      <c r="O5" s="18">
        <f t="shared" ref="O5:O19" si="1">SUM(C5:N5)</f>
        <v>102000</v>
      </c>
    </row>
    <row r="6" spans="1:17" ht="39" customHeight="1" x14ac:dyDescent="0.25">
      <c r="A6" s="16" t="s">
        <v>12</v>
      </c>
      <c r="B6" s="8" t="s">
        <v>6</v>
      </c>
      <c r="C6" s="7">
        <f>Услуги!C22</f>
        <v>12000</v>
      </c>
      <c r="D6" s="7">
        <f>Услуги!D22</f>
        <v>0</v>
      </c>
      <c r="E6" s="7">
        <f>Услуги!E22</f>
        <v>0</v>
      </c>
      <c r="F6" s="7">
        <f>Услуги!F22</f>
        <v>0</v>
      </c>
      <c r="G6" s="7">
        <f>Услуги!G22</f>
        <v>0</v>
      </c>
      <c r="H6" s="7">
        <f>Услуги!H22</f>
        <v>0</v>
      </c>
      <c r="I6" s="7">
        <f>Услуги!I22</f>
        <v>0</v>
      </c>
      <c r="J6" s="7">
        <f>Услуги!J22</f>
        <v>20000</v>
      </c>
      <c r="K6" s="7">
        <f>Услуги!K22</f>
        <v>0</v>
      </c>
      <c r="L6" s="7">
        <f>Услуги!L22</f>
        <v>0</v>
      </c>
      <c r="M6" s="7">
        <f>Услуги!M22</f>
        <v>0</v>
      </c>
      <c r="N6" s="7">
        <f>Услуги!N22</f>
        <v>0</v>
      </c>
      <c r="O6" s="18">
        <f t="shared" si="1"/>
        <v>32000</v>
      </c>
    </row>
    <row r="7" spans="1:17" ht="39" customHeight="1" x14ac:dyDescent="0.25">
      <c r="A7" s="16" t="s">
        <v>13</v>
      </c>
      <c r="B7" s="8" t="s">
        <v>0</v>
      </c>
      <c r="C7" s="7">
        <f>Услуги!C23</f>
        <v>6000</v>
      </c>
      <c r="D7" s="7">
        <f>Услуги!D23</f>
        <v>6000</v>
      </c>
      <c r="E7" s="7">
        <f>Услуги!E23</f>
        <v>6000</v>
      </c>
      <c r="F7" s="7">
        <f>Услуги!F23</f>
        <v>6000</v>
      </c>
      <c r="G7" s="7">
        <f>Услуги!G23</f>
        <v>6000</v>
      </c>
      <c r="H7" s="7">
        <f>Услуги!H23</f>
        <v>6000</v>
      </c>
      <c r="I7" s="7">
        <f>Услуги!I23</f>
        <v>6000</v>
      </c>
      <c r="J7" s="7">
        <f>Услуги!J23</f>
        <v>15000</v>
      </c>
      <c r="K7" s="7">
        <f>Услуги!K23</f>
        <v>15000</v>
      </c>
      <c r="L7" s="7">
        <f>Услуги!L23</f>
        <v>15000</v>
      </c>
      <c r="M7" s="7">
        <f>Услуги!M23</f>
        <v>15000</v>
      </c>
      <c r="N7" s="7">
        <f>Услуги!N23</f>
        <v>15000</v>
      </c>
      <c r="O7" s="18">
        <f t="shared" si="1"/>
        <v>117000</v>
      </c>
    </row>
    <row r="8" spans="1:17" ht="39" customHeight="1" x14ac:dyDescent="0.25">
      <c r="A8" s="16" t="s">
        <v>14</v>
      </c>
      <c r="B8" s="8" t="s">
        <v>50</v>
      </c>
      <c r="C8" s="7">
        <f>Услуги!C24</f>
        <v>30000</v>
      </c>
      <c r="D8" s="7">
        <f>Услуги!D24</f>
        <v>20000</v>
      </c>
      <c r="E8" s="7">
        <f>Услуги!E24</f>
        <v>17000</v>
      </c>
      <c r="F8" s="7">
        <f>Услуги!F24</f>
        <v>15000</v>
      </c>
      <c r="G8" s="7">
        <f>Услуги!G24</f>
        <v>15000</v>
      </c>
      <c r="H8" s="7">
        <f>Услуги!H24</f>
        <v>15000</v>
      </c>
      <c r="I8" s="7">
        <f>Услуги!I24</f>
        <v>15000</v>
      </c>
      <c r="J8" s="7">
        <f>Услуги!J24</f>
        <v>15000</v>
      </c>
      <c r="K8" s="7">
        <f>Услуги!K24</f>
        <v>15000</v>
      </c>
      <c r="L8" s="7">
        <f>Услуги!L24</f>
        <v>15000</v>
      </c>
      <c r="M8" s="7">
        <f>Услуги!M24</f>
        <v>15000</v>
      </c>
      <c r="N8" s="7">
        <f>Услуги!N24</f>
        <v>15000</v>
      </c>
      <c r="O8" s="18">
        <f t="shared" si="1"/>
        <v>202000</v>
      </c>
    </row>
    <row r="9" spans="1:17" ht="39" customHeight="1" x14ac:dyDescent="0.25">
      <c r="A9" s="16" t="s">
        <v>15</v>
      </c>
      <c r="B9" s="8" t="s">
        <v>4</v>
      </c>
      <c r="C9" s="7">
        <f>Услуги!C25</f>
        <v>1500</v>
      </c>
      <c r="D9" s="7">
        <f>Услуги!D25</f>
        <v>1500</v>
      </c>
      <c r="E9" s="7">
        <f>Услуги!E25</f>
        <v>1500</v>
      </c>
      <c r="F9" s="7">
        <f>Услуги!F25</f>
        <v>1500</v>
      </c>
      <c r="G9" s="7">
        <f>Услуги!G25</f>
        <v>2000</v>
      </c>
      <c r="H9" s="7">
        <f>Услуги!H25</f>
        <v>2500</v>
      </c>
      <c r="I9" s="7">
        <f>Услуги!I25</f>
        <v>3000</v>
      </c>
      <c r="J9" s="7">
        <f>Услуги!J25</f>
        <v>3500</v>
      </c>
      <c r="K9" s="7">
        <f>Услуги!K25</f>
        <v>3500</v>
      </c>
      <c r="L9" s="7">
        <f>Услуги!L25</f>
        <v>4000</v>
      </c>
      <c r="M9" s="7">
        <f>Услуги!M25</f>
        <v>4000</v>
      </c>
      <c r="N9" s="7">
        <f>Услуги!N25</f>
        <v>4000</v>
      </c>
      <c r="O9" s="18">
        <f t="shared" si="1"/>
        <v>32500</v>
      </c>
    </row>
    <row r="10" spans="1:17" ht="39" customHeight="1" x14ac:dyDescent="0.25">
      <c r="A10" s="16" t="s">
        <v>16</v>
      </c>
      <c r="B10" s="8" t="s">
        <v>25</v>
      </c>
      <c r="C10" s="7">
        <f>Услуги!C26</f>
        <v>0</v>
      </c>
      <c r="D10" s="7">
        <f>Услуги!D26</f>
        <v>0</v>
      </c>
      <c r="E10" s="7">
        <f>Услуги!E26</f>
        <v>0</v>
      </c>
      <c r="F10" s="7">
        <f>Услуги!F26</f>
        <v>20000</v>
      </c>
      <c r="G10" s="7">
        <f>Услуги!G26</f>
        <v>25000</v>
      </c>
      <c r="H10" s="7">
        <f>Услуги!H26</f>
        <v>25000</v>
      </c>
      <c r="I10" s="7">
        <f>Услуги!I26</f>
        <v>25000</v>
      </c>
      <c r="J10" s="7">
        <f>Услуги!J26</f>
        <v>50000</v>
      </c>
      <c r="K10" s="7">
        <f>Услуги!K26</f>
        <v>55000</v>
      </c>
      <c r="L10" s="7">
        <f>Услуги!L26</f>
        <v>65000</v>
      </c>
      <c r="M10" s="7">
        <f>Услуги!M26</f>
        <v>70000</v>
      </c>
      <c r="N10" s="7">
        <f>Услуги!N26</f>
        <v>100000</v>
      </c>
      <c r="O10" s="18">
        <f t="shared" si="1"/>
        <v>435000</v>
      </c>
    </row>
    <row r="11" spans="1:17" ht="39" customHeight="1" x14ac:dyDescent="0.25">
      <c r="A11" s="16" t="s">
        <v>17</v>
      </c>
      <c r="B11" s="8" t="s">
        <v>24</v>
      </c>
      <c r="C11" s="7">
        <f>Услуги!C27</f>
        <v>0</v>
      </c>
      <c r="D11" s="7">
        <f>Услуги!D27</f>
        <v>0</v>
      </c>
      <c r="E11" s="7">
        <f>Услуги!E27</f>
        <v>0</v>
      </c>
      <c r="F11" s="7">
        <f>Услуги!F27</f>
        <v>2600</v>
      </c>
      <c r="G11" s="7">
        <f>Услуги!G27</f>
        <v>3250</v>
      </c>
      <c r="H11" s="7">
        <f>Услуги!H27</f>
        <v>3250</v>
      </c>
      <c r="I11" s="7">
        <f>Услуги!I27</f>
        <v>3250</v>
      </c>
      <c r="J11" s="7">
        <f>Услуги!J27</f>
        <v>6500</v>
      </c>
      <c r="K11" s="7">
        <f>Услуги!K27</f>
        <v>7150</v>
      </c>
      <c r="L11" s="7">
        <f>Услуги!L27</f>
        <v>8450</v>
      </c>
      <c r="M11" s="7">
        <f>Услуги!M27</f>
        <v>9100</v>
      </c>
      <c r="N11" s="7">
        <f>Услуги!N27</f>
        <v>13000</v>
      </c>
      <c r="O11" s="18">
        <f t="shared" si="1"/>
        <v>56550</v>
      </c>
    </row>
    <row r="12" spans="1:17" ht="39" customHeight="1" x14ac:dyDescent="0.25">
      <c r="A12" s="16" t="s">
        <v>18</v>
      </c>
      <c r="B12" s="8" t="s">
        <v>26</v>
      </c>
      <c r="C12" s="7">
        <f>Услуги!C28</f>
        <v>0</v>
      </c>
      <c r="D12" s="7">
        <f>Услуги!D28</f>
        <v>0</v>
      </c>
      <c r="E12" s="7">
        <f>Услуги!E28</f>
        <v>0</v>
      </c>
      <c r="F12" s="7">
        <f>Услуги!F28</f>
        <v>6825.2</v>
      </c>
      <c r="G12" s="7">
        <f>Услуги!G28</f>
        <v>8531.5</v>
      </c>
      <c r="H12" s="7">
        <f>Услуги!H28</f>
        <v>8531.5</v>
      </c>
      <c r="I12" s="7">
        <f>Услуги!I28</f>
        <v>8531.5</v>
      </c>
      <c r="J12" s="7">
        <f>Услуги!J28</f>
        <v>17063</v>
      </c>
      <c r="K12" s="7">
        <f>Услуги!K28</f>
        <v>18769.3</v>
      </c>
      <c r="L12" s="7">
        <f>Услуги!L28</f>
        <v>22181.899999999998</v>
      </c>
      <c r="M12" s="7">
        <f>Услуги!M28</f>
        <v>23888.2</v>
      </c>
      <c r="N12" s="7">
        <f>Услуги!N28</f>
        <v>34126</v>
      </c>
      <c r="O12" s="18">
        <f t="shared" si="1"/>
        <v>148448.09999999998</v>
      </c>
    </row>
    <row r="13" spans="1:17" ht="39" customHeight="1" x14ac:dyDescent="0.25">
      <c r="A13" s="16" t="s">
        <v>19</v>
      </c>
      <c r="B13" s="8" t="s">
        <v>2</v>
      </c>
      <c r="C13" s="7">
        <f>Услуги!C29</f>
        <v>1500</v>
      </c>
      <c r="D13" s="7">
        <f>Услуги!D29</f>
        <v>2400</v>
      </c>
      <c r="E13" s="7">
        <f>Услуги!E29</f>
        <v>3930</v>
      </c>
      <c r="F13" s="7">
        <f>Услуги!F29</f>
        <v>5130</v>
      </c>
      <c r="G13" s="7">
        <f>Услуги!G29</f>
        <v>6570</v>
      </c>
      <c r="H13" s="7">
        <f>Услуги!H29</f>
        <v>8250</v>
      </c>
      <c r="I13" s="7">
        <f>Услуги!I29</f>
        <v>10710</v>
      </c>
      <c r="J13" s="7">
        <f>Услуги!J29</f>
        <v>12330</v>
      </c>
      <c r="K13" s="7">
        <f>Услуги!K29</f>
        <v>12810</v>
      </c>
      <c r="L13" s="7">
        <f>Услуги!L29</f>
        <v>14490</v>
      </c>
      <c r="M13" s="7">
        <f>Услуги!M29</f>
        <v>15090</v>
      </c>
      <c r="N13" s="7">
        <f>Услуги!N29</f>
        <v>19980</v>
      </c>
      <c r="O13" s="18">
        <f t="shared" si="1"/>
        <v>113190</v>
      </c>
    </row>
    <row r="14" spans="1:17" ht="39" customHeight="1" x14ac:dyDescent="0.25">
      <c r="A14" s="16" t="s">
        <v>20</v>
      </c>
      <c r="B14" s="8" t="s">
        <v>5</v>
      </c>
      <c r="C14" s="7">
        <f>Услуги!C30</f>
        <v>3020</v>
      </c>
      <c r="D14" s="7">
        <f>Услуги!D30</f>
        <v>3020</v>
      </c>
      <c r="E14" s="7">
        <f>Услуги!E30</f>
        <v>3020</v>
      </c>
      <c r="F14" s="7">
        <f>Услуги!F30</f>
        <v>3020</v>
      </c>
      <c r="G14" s="7">
        <f>Услуги!G30</f>
        <v>3020</v>
      </c>
      <c r="H14" s="7">
        <f>Услуги!H30</f>
        <v>3020</v>
      </c>
      <c r="I14" s="7">
        <f>Услуги!I30</f>
        <v>3020</v>
      </c>
      <c r="J14" s="7">
        <f>Услуги!J30</f>
        <v>3020</v>
      </c>
      <c r="K14" s="7">
        <f>Услуги!K30</f>
        <v>3020</v>
      </c>
      <c r="L14" s="7">
        <f>Услуги!L30</f>
        <v>3020</v>
      </c>
      <c r="M14" s="7">
        <f>Услуги!M30</f>
        <v>3020</v>
      </c>
      <c r="N14" s="7">
        <f>Услуги!N30</f>
        <v>3020</v>
      </c>
      <c r="O14" s="18">
        <f t="shared" si="1"/>
        <v>36240</v>
      </c>
    </row>
    <row r="15" spans="1:17" ht="39" customHeight="1" x14ac:dyDescent="0.25">
      <c r="A15" s="16" t="s">
        <v>59</v>
      </c>
      <c r="B15" s="8" t="s">
        <v>7</v>
      </c>
      <c r="C15" s="7">
        <f>Услуги!C31</f>
        <v>29600</v>
      </c>
      <c r="D15" s="7">
        <f>Услуги!D31</f>
        <v>0</v>
      </c>
      <c r="E15" s="7">
        <f>Услуги!E31</f>
        <v>0</v>
      </c>
      <c r="F15" s="7">
        <f>Услуги!F31</f>
        <v>0</v>
      </c>
      <c r="G15" s="7">
        <f>Услуги!G31</f>
        <v>0</v>
      </c>
      <c r="H15" s="7">
        <f>Услуги!H31</f>
        <v>0</v>
      </c>
      <c r="I15" s="7">
        <f>Услуги!I31</f>
        <v>0</v>
      </c>
      <c r="J15" s="7">
        <f>Услуги!J31</f>
        <v>0</v>
      </c>
      <c r="K15" s="7">
        <f>Услуги!K31</f>
        <v>0</v>
      </c>
      <c r="L15" s="7">
        <f>Услуги!L31</f>
        <v>0</v>
      </c>
      <c r="M15" s="7">
        <f>Услуги!M31</f>
        <v>0</v>
      </c>
      <c r="N15" s="7">
        <f>Услуги!N31</f>
        <v>0</v>
      </c>
      <c r="O15" s="18">
        <f t="shared" si="1"/>
        <v>29600</v>
      </c>
      <c r="P15" s="3"/>
      <c r="Q15" s="3"/>
    </row>
    <row r="16" spans="1:17" ht="39" customHeight="1" x14ac:dyDescent="0.25">
      <c r="A16" s="15" t="s">
        <v>21</v>
      </c>
      <c r="B16" s="6" t="s">
        <v>47</v>
      </c>
      <c r="C16" s="9">
        <f>C3-C4</f>
        <v>-110620</v>
      </c>
      <c r="D16" s="9">
        <f t="shared" ref="D16:N16" si="2">D3-D4</f>
        <v>7080</v>
      </c>
      <c r="E16" s="9">
        <f t="shared" si="2"/>
        <v>34050</v>
      </c>
      <c r="F16" s="9">
        <f t="shared" si="2"/>
        <v>25424.800000000003</v>
      </c>
      <c r="G16" s="9">
        <f t="shared" si="2"/>
        <v>40128.5</v>
      </c>
      <c r="H16" s="9">
        <f t="shared" si="2"/>
        <v>65948.5</v>
      </c>
      <c r="I16" s="9">
        <f t="shared" si="2"/>
        <v>103988.5</v>
      </c>
      <c r="J16" s="9">
        <f t="shared" si="2"/>
        <v>13087</v>
      </c>
      <c r="K16" s="9">
        <f t="shared" si="2"/>
        <v>83250.7</v>
      </c>
      <c r="L16" s="9">
        <f t="shared" si="2"/>
        <v>94358.1</v>
      </c>
      <c r="M16" s="9">
        <f t="shared" si="2"/>
        <v>96401.799999999988</v>
      </c>
      <c r="N16" s="9">
        <f t="shared" si="2"/>
        <v>128874</v>
      </c>
      <c r="O16" s="18">
        <f t="shared" si="1"/>
        <v>581971.89999999991</v>
      </c>
    </row>
    <row r="17" spans="1:15" ht="39" customHeight="1" x14ac:dyDescent="0.25">
      <c r="A17" s="15" t="s">
        <v>61</v>
      </c>
      <c r="B17" s="6" t="s">
        <v>62</v>
      </c>
      <c r="C17" s="9">
        <f>99600</f>
        <v>99600</v>
      </c>
      <c r="D17" s="9">
        <f>6000</f>
        <v>6000</v>
      </c>
      <c r="E17" s="9">
        <f>6000</f>
        <v>6000</v>
      </c>
      <c r="F17" s="9">
        <f>6000</f>
        <v>6000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9">
        <f t="shared" si="1"/>
        <v>117600</v>
      </c>
    </row>
    <row r="18" spans="1:15" ht="39" customHeight="1" x14ac:dyDescent="0.25">
      <c r="A18" s="15" t="s">
        <v>60</v>
      </c>
      <c r="B18" s="6" t="s">
        <v>57</v>
      </c>
      <c r="C18" s="9">
        <f>30000</f>
        <v>30000</v>
      </c>
      <c r="D18" s="9">
        <f>15000</f>
        <v>15000</v>
      </c>
      <c r="E18" s="9">
        <f>15000</f>
        <v>15000</v>
      </c>
      <c r="F18" s="9"/>
      <c r="G18" s="9"/>
      <c r="H18" s="9"/>
      <c r="I18" s="9"/>
      <c r="J18" s="9"/>
      <c r="K18" s="9"/>
      <c r="L18" s="9"/>
      <c r="M18" s="9"/>
      <c r="N18" s="9"/>
      <c r="O18" s="19">
        <f t="shared" si="1"/>
        <v>60000</v>
      </c>
    </row>
    <row r="19" spans="1:15" ht="39" customHeight="1" x14ac:dyDescent="0.25">
      <c r="A19" s="15" t="s">
        <v>22</v>
      </c>
      <c r="B19" s="6" t="s">
        <v>48</v>
      </c>
      <c r="C19" s="9">
        <f>C16+C17+C18</f>
        <v>18980</v>
      </c>
      <c r="D19" s="9">
        <f t="shared" ref="D19:N19" si="3">D16+D17+D18</f>
        <v>28080</v>
      </c>
      <c r="E19" s="9">
        <f t="shared" si="3"/>
        <v>55050</v>
      </c>
      <c r="F19" s="9">
        <f t="shared" si="3"/>
        <v>31424.800000000003</v>
      </c>
      <c r="G19" s="9">
        <f t="shared" si="3"/>
        <v>40128.5</v>
      </c>
      <c r="H19" s="9">
        <f t="shared" si="3"/>
        <v>65948.5</v>
      </c>
      <c r="I19" s="9">
        <f t="shared" si="3"/>
        <v>103988.5</v>
      </c>
      <c r="J19" s="9">
        <f t="shared" si="3"/>
        <v>13087</v>
      </c>
      <c r="K19" s="9">
        <f t="shared" si="3"/>
        <v>83250.7</v>
      </c>
      <c r="L19" s="9">
        <f t="shared" si="3"/>
        <v>94358.1</v>
      </c>
      <c r="M19" s="9">
        <f t="shared" si="3"/>
        <v>96401.799999999988</v>
      </c>
      <c r="N19" s="9">
        <f t="shared" si="3"/>
        <v>128874</v>
      </c>
      <c r="O19" s="19">
        <f t="shared" si="1"/>
        <v>759571.89999999991</v>
      </c>
    </row>
    <row r="20" spans="1:15" ht="39" customHeight="1" x14ac:dyDescent="0.25">
      <c r="A20" s="15" t="s">
        <v>23</v>
      </c>
      <c r="B20" s="6" t="s">
        <v>49</v>
      </c>
      <c r="C20" s="9">
        <f>C19</f>
        <v>18980</v>
      </c>
      <c r="D20" s="9">
        <f>C20+D19</f>
        <v>47060</v>
      </c>
      <c r="E20" s="9">
        <f t="shared" ref="E20:N20" si="4">D20+E19</f>
        <v>102110</v>
      </c>
      <c r="F20" s="9">
        <f t="shared" si="4"/>
        <v>133534.79999999999</v>
      </c>
      <c r="G20" s="9">
        <f t="shared" si="4"/>
        <v>173663.3</v>
      </c>
      <c r="H20" s="9">
        <f t="shared" si="4"/>
        <v>239611.8</v>
      </c>
      <c r="I20" s="9">
        <f t="shared" si="4"/>
        <v>343600.3</v>
      </c>
      <c r="J20" s="9">
        <f t="shared" si="4"/>
        <v>356687.3</v>
      </c>
      <c r="K20" s="9">
        <f t="shared" si="4"/>
        <v>439938</v>
      </c>
      <c r="L20" s="9">
        <f t="shared" si="4"/>
        <v>534296.1</v>
      </c>
      <c r="M20" s="9">
        <f t="shared" si="4"/>
        <v>630697.89999999991</v>
      </c>
      <c r="N20" s="9">
        <f t="shared" si="4"/>
        <v>759571.89999999991</v>
      </c>
      <c r="O20" s="19">
        <f>N20</f>
        <v>759571.89999999991</v>
      </c>
    </row>
    <row r="21" spans="1:15" ht="16.5" thickBot="1" x14ac:dyDescent="0.3"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5" ht="16.5" thickBot="1" x14ac:dyDescent="0.3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5" ht="16.5" thickBot="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6"/>
  <sheetViews>
    <sheetView tabSelected="1" topLeftCell="B16" zoomScale="70" zoomScaleNormal="70" workbookViewId="0">
      <selection activeCell="F51" sqref="F51"/>
    </sheetView>
  </sheetViews>
  <sheetFormatPr defaultRowHeight="15.75" x14ac:dyDescent="0.25"/>
  <cols>
    <col min="1" max="1" width="4.875" style="2" customWidth="1"/>
    <col min="2" max="2" width="48.375" style="2" customWidth="1"/>
    <col min="3" max="3" width="10" style="2" bestFit="1" customWidth="1"/>
    <col min="4" max="11" width="9" style="2"/>
    <col min="12" max="12" width="10.125" style="2" customWidth="1"/>
    <col min="13" max="13" width="10.625" style="2" customWidth="1"/>
    <col min="14" max="14" width="10.75" style="2" customWidth="1"/>
    <col min="15" max="15" width="11" style="2" customWidth="1"/>
    <col min="16" max="16" width="12" style="2" customWidth="1"/>
    <col min="17" max="16384" width="9" style="2"/>
  </cols>
  <sheetData>
    <row r="2" spans="1:16" ht="36.75" customHeight="1" x14ac:dyDescent="0.25">
      <c r="A2" s="32" t="s">
        <v>51</v>
      </c>
      <c r="B2" s="23" t="s">
        <v>28</v>
      </c>
      <c r="C2" s="24" t="s">
        <v>42</v>
      </c>
      <c r="D2" s="24" t="s">
        <v>29</v>
      </c>
      <c r="E2" s="24" t="s">
        <v>30</v>
      </c>
      <c r="F2" s="24" t="s">
        <v>31</v>
      </c>
      <c r="G2" s="24" t="s">
        <v>32</v>
      </c>
      <c r="H2" s="24" t="s">
        <v>33</v>
      </c>
      <c r="I2" s="24" t="s">
        <v>34</v>
      </c>
      <c r="J2" s="24" t="s">
        <v>35</v>
      </c>
      <c r="K2" s="24" t="s">
        <v>36</v>
      </c>
      <c r="L2" s="24" t="s">
        <v>37</v>
      </c>
      <c r="M2" s="24" t="s">
        <v>38</v>
      </c>
      <c r="N2" s="24" t="s">
        <v>39</v>
      </c>
      <c r="O2" s="30" t="s">
        <v>43</v>
      </c>
      <c r="P2" s="33" t="s">
        <v>44</v>
      </c>
    </row>
    <row r="3" spans="1:16" ht="29.25" customHeight="1" x14ac:dyDescent="0.25">
      <c r="A3" s="13">
        <v>1</v>
      </c>
      <c r="B3" s="25" t="s">
        <v>65</v>
      </c>
      <c r="C3" s="22">
        <f>C4*C5</f>
        <v>1000</v>
      </c>
      <c r="D3" s="22">
        <f t="shared" ref="D3:N3" si="0">D4*D5</f>
        <v>1000</v>
      </c>
      <c r="E3" s="22">
        <f t="shared" si="0"/>
        <v>2500</v>
      </c>
      <c r="F3" s="22">
        <f t="shared" si="0"/>
        <v>3500</v>
      </c>
      <c r="G3" s="22">
        <f t="shared" si="0"/>
        <v>4500</v>
      </c>
      <c r="H3" s="22">
        <f t="shared" si="0"/>
        <v>5500</v>
      </c>
      <c r="I3" s="22">
        <f t="shared" si="0"/>
        <v>6500</v>
      </c>
      <c r="J3" s="22">
        <f t="shared" si="0"/>
        <v>7500</v>
      </c>
      <c r="K3" s="22">
        <f t="shared" si="0"/>
        <v>8500</v>
      </c>
      <c r="L3" s="22">
        <f t="shared" si="0"/>
        <v>8500</v>
      </c>
      <c r="M3" s="22">
        <f t="shared" si="0"/>
        <v>9500</v>
      </c>
      <c r="N3" s="22">
        <f t="shared" si="0"/>
        <v>20000</v>
      </c>
      <c r="O3" s="38">
        <f>SUM(C3:N3)</f>
        <v>78500</v>
      </c>
      <c r="P3" s="36">
        <f>N3/$N$18</f>
        <v>6.006006006006006E-2</v>
      </c>
    </row>
    <row r="4" spans="1:16" ht="19.5" customHeight="1" x14ac:dyDescent="0.25">
      <c r="A4" s="13"/>
      <c r="B4" s="26" t="s">
        <v>40</v>
      </c>
      <c r="C4" s="21">
        <f>500</f>
        <v>500</v>
      </c>
      <c r="D4" s="21">
        <f>500</f>
        <v>500</v>
      </c>
      <c r="E4" s="21">
        <f>500</f>
        <v>500</v>
      </c>
      <c r="F4" s="21">
        <v>500</v>
      </c>
      <c r="G4" s="21">
        <v>500</v>
      </c>
      <c r="H4" s="21">
        <f t="shared" ref="H4:M4" si="1">G4</f>
        <v>500</v>
      </c>
      <c r="I4" s="21">
        <f t="shared" si="1"/>
        <v>500</v>
      </c>
      <c r="J4" s="21">
        <f t="shared" si="1"/>
        <v>500</v>
      </c>
      <c r="K4" s="21">
        <f t="shared" si="1"/>
        <v>500</v>
      </c>
      <c r="L4" s="21">
        <f t="shared" si="1"/>
        <v>500</v>
      </c>
      <c r="M4" s="21">
        <f t="shared" si="1"/>
        <v>500</v>
      </c>
      <c r="N4" s="21">
        <v>1000</v>
      </c>
      <c r="O4" s="38"/>
      <c r="P4" s="36"/>
    </row>
    <row r="5" spans="1:16" ht="19.5" customHeight="1" x14ac:dyDescent="0.25">
      <c r="A5" s="13"/>
      <c r="B5" s="49" t="s">
        <v>41</v>
      </c>
      <c r="C5" s="50">
        <v>2</v>
      </c>
      <c r="D5" s="50">
        <v>2</v>
      </c>
      <c r="E5" s="50">
        <v>5</v>
      </c>
      <c r="F5" s="50">
        <v>7</v>
      </c>
      <c r="G5" s="50">
        <v>9</v>
      </c>
      <c r="H5" s="50">
        <v>11</v>
      </c>
      <c r="I5" s="50">
        <v>13</v>
      </c>
      <c r="J5" s="50">
        <v>15</v>
      </c>
      <c r="K5" s="50">
        <v>17</v>
      </c>
      <c r="L5" s="50">
        <v>17</v>
      </c>
      <c r="M5" s="50">
        <v>19</v>
      </c>
      <c r="N5" s="50">
        <v>20</v>
      </c>
      <c r="O5" s="38"/>
      <c r="P5" s="36"/>
    </row>
    <row r="6" spans="1:16" ht="29.25" customHeight="1" x14ac:dyDescent="0.25">
      <c r="A6" s="13">
        <v>2</v>
      </c>
      <c r="B6" s="25" t="s">
        <v>66</v>
      </c>
      <c r="C6" s="22">
        <f>C7*C8</f>
        <v>1000</v>
      </c>
      <c r="D6" s="22">
        <f t="shared" ref="D6:N6" si="2">D7*D8</f>
        <v>1000</v>
      </c>
      <c r="E6" s="22">
        <f t="shared" si="2"/>
        <v>2000</v>
      </c>
      <c r="F6" s="22">
        <f t="shared" si="2"/>
        <v>6000</v>
      </c>
      <c r="G6" s="22">
        <f t="shared" si="2"/>
        <v>6000</v>
      </c>
      <c r="H6" s="22">
        <f t="shared" si="2"/>
        <v>8000</v>
      </c>
      <c r="I6" s="22">
        <f t="shared" si="2"/>
        <v>8000</v>
      </c>
      <c r="J6" s="22">
        <f t="shared" si="2"/>
        <v>10000</v>
      </c>
      <c r="K6" s="22">
        <f t="shared" si="2"/>
        <v>10000</v>
      </c>
      <c r="L6" s="22">
        <f t="shared" si="2"/>
        <v>10000</v>
      </c>
      <c r="M6" s="22">
        <f t="shared" si="2"/>
        <v>12000</v>
      </c>
      <c r="N6" s="22">
        <f t="shared" si="2"/>
        <v>14000</v>
      </c>
      <c r="O6" s="38">
        <f t="shared" ref="O6:O15" si="3">SUM(C6:N6)</f>
        <v>88000</v>
      </c>
      <c r="P6" s="36">
        <f t="shared" ref="P6" si="4">N6/$N$18</f>
        <v>4.2042042042042045E-2</v>
      </c>
    </row>
    <row r="7" spans="1:16" ht="18.75" customHeight="1" x14ac:dyDescent="0.25">
      <c r="A7" s="13"/>
      <c r="B7" s="26" t="s">
        <v>40</v>
      </c>
      <c r="C7" s="21">
        <f>1000</f>
        <v>1000</v>
      </c>
      <c r="D7" s="21">
        <f>1000</f>
        <v>1000</v>
      </c>
      <c r="E7" s="21">
        <f>1000</f>
        <v>1000</v>
      </c>
      <c r="F7" s="21">
        <f>2000</f>
        <v>2000</v>
      </c>
      <c r="G7" s="21">
        <f>F7</f>
        <v>2000</v>
      </c>
      <c r="H7" s="21">
        <f t="shared" ref="H7:N7" si="5">G7</f>
        <v>2000</v>
      </c>
      <c r="I7" s="21">
        <f t="shared" si="5"/>
        <v>2000</v>
      </c>
      <c r="J7" s="21">
        <f t="shared" si="5"/>
        <v>2000</v>
      </c>
      <c r="K7" s="21">
        <f t="shared" si="5"/>
        <v>2000</v>
      </c>
      <c r="L7" s="21">
        <f t="shared" si="5"/>
        <v>2000</v>
      </c>
      <c r="M7" s="21">
        <f t="shared" si="5"/>
        <v>2000</v>
      </c>
      <c r="N7" s="21">
        <f t="shared" si="5"/>
        <v>2000</v>
      </c>
      <c r="O7" s="38"/>
      <c r="P7" s="36"/>
    </row>
    <row r="8" spans="1:16" ht="18.75" customHeight="1" x14ac:dyDescent="0.25">
      <c r="A8" s="13"/>
      <c r="B8" s="49" t="s">
        <v>41</v>
      </c>
      <c r="C8" s="50">
        <v>1</v>
      </c>
      <c r="D8" s="50">
        <v>1</v>
      </c>
      <c r="E8" s="50">
        <v>2</v>
      </c>
      <c r="F8" s="50">
        <v>3</v>
      </c>
      <c r="G8" s="50">
        <v>3</v>
      </c>
      <c r="H8" s="50">
        <v>4</v>
      </c>
      <c r="I8" s="50">
        <v>4</v>
      </c>
      <c r="J8" s="50">
        <v>5</v>
      </c>
      <c r="K8" s="50">
        <v>5</v>
      </c>
      <c r="L8" s="50">
        <v>5</v>
      </c>
      <c r="M8" s="50">
        <v>6</v>
      </c>
      <c r="N8" s="50">
        <v>7</v>
      </c>
      <c r="O8" s="38"/>
      <c r="P8" s="36"/>
    </row>
    <row r="9" spans="1:16" ht="29.25" customHeight="1" x14ac:dyDescent="0.25">
      <c r="A9" s="13">
        <v>3</v>
      </c>
      <c r="B9" s="25" t="s">
        <v>67</v>
      </c>
      <c r="C9" s="22">
        <f>C10*C11</f>
        <v>5000</v>
      </c>
      <c r="D9" s="22">
        <f t="shared" ref="D9:N9" si="6">D10*D11</f>
        <v>5000</v>
      </c>
      <c r="E9" s="22">
        <f t="shared" si="6"/>
        <v>10000</v>
      </c>
      <c r="F9" s="22">
        <f t="shared" si="6"/>
        <v>10000</v>
      </c>
      <c r="G9" s="22">
        <f t="shared" si="6"/>
        <v>15000</v>
      </c>
      <c r="H9" s="22">
        <f t="shared" si="6"/>
        <v>15000</v>
      </c>
      <c r="I9" s="22">
        <f t="shared" si="6"/>
        <v>28000</v>
      </c>
      <c r="J9" s="22">
        <f t="shared" si="6"/>
        <v>28000</v>
      </c>
      <c r="K9" s="22">
        <f t="shared" si="6"/>
        <v>35000</v>
      </c>
      <c r="L9" s="22">
        <f t="shared" si="6"/>
        <v>35000</v>
      </c>
      <c r="M9" s="22">
        <f t="shared" si="6"/>
        <v>42000</v>
      </c>
      <c r="N9" s="22">
        <f t="shared" si="6"/>
        <v>42000</v>
      </c>
      <c r="O9" s="38">
        <f t="shared" si="3"/>
        <v>270000</v>
      </c>
      <c r="P9" s="36">
        <f>N9/$N$18</f>
        <v>0.12612612612612611</v>
      </c>
    </row>
    <row r="10" spans="1:16" ht="19.5" customHeight="1" x14ac:dyDescent="0.25">
      <c r="A10" s="13"/>
      <c r="B10" s="26" t="s">
        <v>40</v>
      </c>
      <c r="C10" s="21">
        <f>5000</f>
        <v>5000</v>
      </c>
      <c r="D10" s="21">
        <f>5000</f>
        <v>5000</v>
      </c>
      <c r="E10" s="21">
        <f>5000</f>
        <v>5000</v>
      </c>
      <c r="F10" s="21">
        <f>5000</f>
        <v>5000</v>
      </c>
      <c r="G10" s="21">
        <f>5000</f>
        <v>5000</v>
      </c>
      <c r="H10" s="21">
        <f>5000</f>
        <v>5000</v>
      </c>
      <c r="I10" s="21">
        <v>7000</v>
      </c>
      <c r="J10" s="21">
        <v>7000</v>
      </c>
      <c r="K10" s="21">
        <v>7000</v>
      </c>
      <c r="L10" s="21">
        <f>7000</f>
        <v>7000</v>
      </c>
      <c r="M10" s="21">
        <v>7000</v>
      </c>
      <c r="N10" s="21">
        <v>7000</v>
      </c>
      <c r="O10" s="38"/>
      <c r="P10" s="36"/>
    </row>
    <row r="11" spans="1:16" ht="19.5" customHeight="1" x14ac:dyDescent="0.25">
      <c r="A11" s="13"/>
      <c r="B11" s="49" t="s">
        <v>41</v>
      </c>
      <c r="C11" s="50">
        <v>1</v>
      </c>
      <c r="D11" s="50">
        <v>1</v>
      </c>
      <c r="E11" s="50">
        <v>2</v>
      </c>
      <c r="F11" s="50">
        <f>2</f>
        <v>2</v>
      </c>
      <c r="G11" s="50">
        <f>3</f>
        <v>3</v>
      </c>
      <c r="H11" s="50">
        <v>3</v>
      </c>
      <c r="I11" s="50">
        <v>4</v>
      </c>
      <c r="J11" s="50">
        <v>4</v>
      </c>
      <c r="K11" s="50">
        <v>5</v>
      </c>
      <c r="L11" s="50">
        <v>5</v>
      </c>
      <c r="M11" s="50">
        <v>6</v>
      </c>
      <c r="N11" s="50">
        <v>6</v>
      </c>
      <c r="O11" s="38"/>
      <c r="P11" s="36"/>
    </row>
    <row r="12" spans="1:16" ht="29.25" customHeight="1" x14ac:dyDescent="0.25">
      <c r="A12" s="13">
        <v>4</v>
      </c>
      <c r="B12" s="25" t="s">
        <v>68</v>
      </c>
      <c r="C12" s="22">
        <f>C13*C14</f>
        <v>15000</v>
      </c>
      <c r="D12" s="22">
        <f t="shared" ref="D12:N12" si="7">D13*D14</f>
        <v>30000</v>
      </c>
      <c r="E12" s="22">
        <f t="shared" si="7"/>
        <v>45000</v>
      </c>
      <c r="F12" s="22">
        <f t="shared" si="7"/>
        <v>60000</v>
      </c>
      <c r="G12" s="22">
        <f t="shared" si="7"/>
        <v>75000</v>
      </c>
      <c r="H12" s="22">
        <f t="shared" si="7"/>
        <v>100000</v>
      </c>
      <c r="I12" s="22">
        <f t="shared" si="7"/>
        <v>120000</v>
      </c>
      <c r="J12" s="22">
        <f t="shared" si="7"/>
        <v>140000</v>
      </c>
      <c r="K12" s="22">
        <f t="shared" si="7"/>
        <v>140000</v>
      </c>
      <c r="L12" s="22">
        <f t="shared" si="7"/>
        <v>160000</v>
      </c>
      <c r="M12" s="22">
        <f t="shared" si="7"/>
        <v>160000</v>
      </c>
      <c r="N12" s="22">
        <f t="shared" si="7"/>
        <v>225000</v>
      </c>
      <c r="O12" s="38">
        <f t="shared" si="3"/>
        <v>1270000</v>
      </c>
      <c r="P12" s="36">
        <f>N12/$N$18</f>
        <v>0.67567567567567566</v>
      </c>
    </row>
    <row r="13" spans="1:16" ht="19.5" customHeight="1" x14ac:dyDescent="0.25">
      <c r="A13" s="13"/>
      <c r="B13" s="26" t="s">
        <v>40</v>
      </c>
      <c r="C13" s="21">
        <f>15000</f>
        <v>15000</v>
      </c>
      <c r="D13" s="21">
        <f>15000</f>
        <v>15000</v>
      </c>
      <c r="E13" s="21">
        <v>15000</v>
      </c>
      <c r="F13" s="21">
        <v>15000</v>
      </c>
      <c r="G13" s="21">
        <v>15000</v>
      </c>
      <c r="H13" s="21">
        <f>20000</f>
        <v>20000</v>
      </c>
      <c r="I13" s="21">
        <f>20000</f>
        <v>20000</v>
      </c>
      <c r="J13" s="21">
        <f>20000</f>
        <v>20000</v>
      </c>
      <c r="K13" s="21">
        <f>20000</f>
        <v>20000</v>
      </c>
      <c r="L13" s="21">
        <f>20000</f>
        <v>20000</v>
      </c>
      <c r="M13" s="21">
        <f>20000</f>
        <v>20000</v>
      </c>
      <c r="N13" s="21">
        <f>25000</f>
        <v>25000</v>
      </c>
      <c r="O13" s="38"/>
      <c r="P13" s="36"/>
    </row>
    <row r="14" spans="1:16" ht="19.5" customHeight="1" x14ac:dyDescent="0.25">
      <c r="A14" s="13"/>
      <c r="B14" s="49" t="s">
        <v>41</v>
      </c>
      <c r="C14" s="50">
        <v>1</v>
      </c>
      <c r="D14" s="50">
        <v>2</v>
      </c>
      <c r="E14" s="50">
        <v>3</v>
      </c>
      <c r="F14" s="50">
        <v>4</v>
      </c>
      <c r="G14" s="50">
        <v>5</v>
      </c>
      <c r="H14" s="50">
        <v>5</v>
      </c>
      <c r="I14" s="50">
        <v>6</v>
      </c>
      <c r="J14" s="50">
        <v>7</v>
      </c>
      <c r="K14" s="50">
        <f>7</f>
        <v>7</v>
      </c>
      <c r="L14" s="50">
        <f>8</f>
        <v>8</v>
      </c>
      <c r="M14" s="50">
        <f>8</f>
        <v>8</v>
      </c>
      <c r="N14" s="50">
        <v>9</v>
      </c>
      <c r="O14" s="38"/>
      <c r="P14" s="36"/>
    </row>
    <row r="15" spans="1:16" ht="29.25" customHeight="1" x14ac:dyDescent="0.25">
      <c r="A15" s="13">
        <v>5</v>
      </c>
      <c r="B15" s="25" t="s">
        <v>69</v>
      </c>
      <c r="C15" s="22">
        <f>C16*C17</f>
        <v>3000</v>
      </c>
      <c r="D15" s="22">
        <f t="shared" ref="D15:N15" si="8">D16*D17</f>
        <v>3000</v>
      </c>
      <c r="E15" s="22">
        <f t="shared" si="8"/>
        <v>6000</v>
      </c>
      <c r="F15" s="22">
        <f t="shared" si="8"/>
        <v>6000</v>
      </c>
      <c r="G15" s="22">
        <f t="shared" si="8"/>
        <v>9000</v>
      </c>
      <c r="H15" s="22">
        <f t="shared" si="8"/>
        <v>9000</v>
      </c>
      <c r="I15" s="22">
        <f t="shared" si="8"/>
        <v>16000</v>
      </c>
      <c r="J15" s="22">
        <f t="shared" si="8"/>
        <v>20000</v>
      </c>
      <c r="K15" s="22">
        <f t="shared" si="8"/>
        <v>20000</v>
      </c>
      <c r="L15" s="22">
        <f t="shared" si="8"/>
        <v>28000</v>
      </c>
      <c r="M15" s="22">
        <f t="shared" si="8"/>
        <v>28000</v>
      </c>
      <c r="N15" s="22">
        <f t="shared" si="8"/>
        <v>32000</v>
      </c>
      <c r="O15" s="38">
        <f t="shared" si="3"/>
        <v>180000</v>
      </c>
      <c r="P15" s="36">
        <f>N15/$N$18</f>
        <v>9.6096096096096095E-2</v>
      </c>
    </row>
    <row r="16" spans="1:16" ht="19.5" customHeight="1" x14ac:dyDescent="0.25">
      <c r="A16" s="13"/>
      <c r="B16" s="26" t="s">
        <v>40</v>
      </c>
      <c r="C16" s="21">
        <f>3000</f>
        <v>3000</v>
      </c>
      <c r="D16" s="21">
        <f>3000</f>
        <v>3000</v>
      </c>
      <c r="E16" s="21">
        <f>3000</f>
        <v>3000</v>
      </c>
      <c r="F16" s="21">
        <f>3000</f>
        <v>3000</v>
      </c>
      <c r="G16" s="21">
        <f>3000</f>
        <v>3000</v>
      </c>
      <c r="H16" s="21">
        <v>3000</v>
      </c>
      <c r="I16" s="21">
        <v>4000</v>
      </c>
      <c r="J16" s="21">
        <v>4000</v>
      </c>
      <c r="K16" s="21">
        <v>4000</v>
      </c>
      <c r="L16" s="21">
        <v>4000</v>
      </c>
      <c r="M16" s="21">
        <v>4000</v>
      </c>
      <c r="N16" s="21">
        <v>4000</v>
      </c>
      <c r="O16" s="38"/>
      <c r="P16" s="36"/>
    </row>
    <row r="17" spans="1:17" ht="19.5" customHeight="1" x14ac:dyDescent="0.25">
      <c r="A17" s="13"/>
      <c r="B17" s="49" t="s">
        <v>41</v>
      </c>
      <c r="C17" s="50">
        <v>1</v>
      </c>
      <c r="D17" s="50">
        <v>1</v>
      </c>
      <c r="E17" s="50">
        <v>2</v>
      </c>
      <c r="F17" s="50">
        <v>2</v>
      </c>
      <c r="G17" s="50">
        <v>3</v>
      </c>
      <c r="H17" s="50">
        <v>3</v>
      </c>
      <c r="I17" s="50">
        <v>4</v>
      </c>
      <c r="J17" s="50">
        <v>5</v>
      </c>
      <c r="K17" s="50">
        <v>5</v>
      </c>
      <c r="L17" s="50">
        <v>7</v>
      </c>
      <c r="M17" s="50">
        <v>7</v>
      </c>
      <c r="N17" s="50">
        <v>8</v>
      </c>
      <c r="O17" s="38"/>
      <c r="P17" s="36"/>
    </row>
    <row r="18" spans="1:17" ht="29.25" customHeight="1" x14ac:dyDescent="0.25">
      <c r="A18" s="13"/>
      <c r="B18" s="27" t="s">
        <v>43</v>
      </c>
      <c r="C18" s="35">
        <f t="shared" ref="C18:N18" si="9">C3+C6+C9+C12+C15</f>
        <v>25000</v>
      </c>
      <c r="D18" s="35">
        <f t="shared" si="9"/>
        <v>40000</v>
      </c>
      <c r="E18" s="35">
        <f t="shared" si="9"/>
        <v>65500</v>
      </c>
      <c r="F18" s="35">
        <f t="shared" si="9"/>
        <v>85500</v>
      </c>
      <c r="G18" s="35">
        <f t="shared" si="9"/>
        <v>109500</v>
      </c>
      <c r="H18" s="35">
        <f t="shared" si="9"/>
        <v>137500</v>
      </c>
      <c r="I18" s="35">
        <f t="shared" si="9"/>
        <v>178500</v>
      </c>
      <c r="J18" s="35">
        <f t="shared" si="9"/>
        <v>205500</v>
      </c>
      <c r="K18" s="35">
        <f t="shared" si="9"/>
        <v>213500</v>
      </c>
      <c r="L18" s="35">
        <f t="shared" si="9"/>
        <v>241500</v>
      </c>
      <c r="M18" s="35">
        <f t="shared" si="9"/>
        <v>251500</v>
      </c>
      <c r="N18" s="35">
        <f t="shared" si="9"/>
        <v>333000</v>
      </c>
      <c r="O18" s="38">
        <f>SUM(C18:N18)</f>
        <v>1886500</v>
      </c>
      <c r="P18" s="36">
        <f>N18/$N$18</f>
        <v>1</v>
      </c>
    </row>
    <row r="19" spans="1:17" ht="26.25" customHeight="1" x14ac:dyDescent="0.25">
      <c r="O19" s="20">
        <f>SUM(O3:O17)</f>
        <v>1886500</v>
      </c>
    </row>
    <row r="20" spans="1:17" ht="25.5" customHeight="1" x14ac:dyDescent="0.25">
      <c r="A20" s="28" t="s">
        <v>51</v>
      </c>
      <c r="B20" s="23" t="s">
        <v>28</v>
      </c>
      <c r="C20" s="24" t="s">
        <v>42</v>
      </c>
      <c r="D20" s="24" t="s">
        <v>29</v>
      </c>
      <c r="E20" s="24" t="s">
        <v>30</v>
      </c>
      <c r="F20" s="24" t="s">
        <v>31</v>
      </c>
      <c r="G20" s="24" t="s">
        <v>32</v>
      </c>
      <c r="H20" s="24" t="s">
        <v>33</v>
      </c>
      <c r="I20" s="24" t="s">
        <v>34</v>
      </c>
      <c r="J20" s="24" t="s">
        <v>35</v>
      </c>
      <c r="K20" s="24" t="s">
        <v>36</v>
      </c>
      <c r="L20" s="24" t="s">
        <v>37</v>
      </c>
      <c r="M20" s="24" t="s">
        <v>38</v>
      </c>
      <c r="N20" s="24" t="s">
        <v>39</v>
      </c>
      <c r="O20" s="30" t="s">
        <v>43</v>
      </c>
      <c r="P20" s="33" t="s">
        <v>53</v>
      </c>
    </row>
    <row r="21" spans="1:17" ht="28.5" customHeight="1" x14ac:dyDescent="0.25">
      <c r="A21" s="16" t="s">
        <v>11</v>
      </c>
      <c r="B21" s="39" t="s">
        <v>3</v>
      </c>
      <c r="C21" s="7">
        <f>52000</f>
        <v>52000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50000</v>
      </c>
      <c r="K21" s="7">
        <v>0</v>
      </c>
      <c r="L21" s="7">
        <v>0</v>
      </c>
      <c r="M21" s="7">
        <v>0</v>
      </c>
      <c r="N21" s="7">
        <v>0</v>
      </c>
      <c r="O21" s="37">
        <f t="shared" ref="O21:O31" si="10">SUM(C21:N21)</f>
        <v>102000</v>
      </c>
      <c r="P21" s="31">
        <f>O21/$O$32</f>
        <v>7.8189193471570287E-2</v>
      </c>
    </row>
    <row r="22" spans="1:17" ht="28.5" customHeight="1" x14ac:dyDescent="0.25">
      <c r="A22" s="16" t="s">
        <v>12</v>
      </c>
      <c r="B22" s="39" t="s">
        <v>6</v>
      </c>
      <c r="C22" s="7">
        <f>12000</f>
        <v>12000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>20000</f>
        <v>20000</v>
      </c>
      <c r="K22" s="7">
        <v>0</v>
      </c>
      <c r="L22" s="7">
        <v>0</v>
      </c>
      <c r="M22" s="7">
        <v>0</v>
      </c>
      <c r="N22" s="7">
        <v>0</v>
      </c>
      <c r="O22" s="37">
        <f t="shared" si="10"/>
        <v>32000</v>
      </c>
      <c r="P22" s="31">
        <f t="shared" ref="P22:P33" si="11">O22/$O$32</f>
        <v>2.4529943049904405E-2</v>
      </c>
    </row>
    <row r="23" spans="1:17" ht="28.5" customHeight="1" x14ac:dyDescent="0.25">
      <c r="A23" s="16" t="s">
        <v>13</v>
      </c>
      <c r="B23" s="39" t="s">
        <v>0</v>
      </c>
      <c r="C23" s="7">
        <f>6000</f>
        <v>6000</v>
      </c>
      <c r="D23" s="7">
        <f>C23</f>
        <v>6000</v>
      </c>
      <c r="E23" s="7">
        <f t="shared" ref="E23:I23" si="12">D23</f>
        <v>6000</v>
      </c>
      <c r="F23" s="7">
        <f t="shared" si="12"/>
        <v>6000</v>
      </c>
      <c r="G23" s="7">
        <f t="shared" si="12"/>
        <v>6000</v>
      </c>
      <c r="H23" s="7">
        <f t="shared" si="12"/>
        <v>6000</v>
      </c>
      <c r="I23" s="7">
        <f t="shared" si="12"/>
        <v>6000</v>
      </c>
      <c r="J23" s="7">
        <f>15000</f>
        <v>15000</v>
      </c>
      <c r="K23" s="7">
        <f>J23</f>
        <v>15000</v>
      </c>
      <c r="L23" s="7">
        <f t="shared" ref="L23:N23" si="13">K23</f>
        <v>15000</v>
      </c>
      <c r="M23" s="7">
        <f t="shared" si="13"/>
        <v>15000</v>
      </c>
      <c r="N23" s="7">
        <f t="shared" si="13"/>
        <v>15000</v>
      </c>
      <c r="O23" s="37">
        <f t="shared" si="10"/>
        <v>117000</v>
      </c>
      <c r="P23" s="31">
        <f t="shared" si="11"/>
        <v>8.9687604276212973E-2</v>
      </c>
    </row>
    <row r="24" spans="1:17" ht="28.5" customHeight="1" x14ac:dyDescent="0.25">
      <c r="A24" s="16" t="s">
        <v>14</v>
      </c>
      <c r="B24" s="39" t="s">
        <v>50</v>
      </c>
      <c r="C24" s="7">
        <f>30000</f>
        <v>30000</v>
      </c>
      <c r="D24" s="7">
        <v>20000</v>
      </c>
      <c r="E24" s="7">
        <v>17000</v>
      </c>
      <c r="F24" s="7">
        <v>15000</v>
      </c>
      <c r="G24" s="7">
        <v>15000</v>
      </c>
      <c r="H24" s="7">
        <v>15000</v>
      </c>
      <c r="I24" s="7">
        <v>15000</v>
      </c>
      <c r="J24" s="7">
        <v>15000</v>
      </c>
      <c r="K24" s="7">
        <v>15000</v>
      </c>
      <c r="L24" s="7">
        <v>15000</v>
      </c>
      <c r="M24" s="7">
        <v>15000</v>
      </c>
      <c r="N24" s="7">
        <v>15000</v>
      </c>
      <c r="O24" s="37">
        <f t="shared" si="10"/>
        <v>202000</v>
      </c>
      <c r="P24" s="31">
        <f t="shared" si="11"/>
        <v>0.15484526550252156</v>
      </c>
    </row>
    <row r="25" spans="1:17" ht="28.5" customHeight="1" x14ac:dyDescent="0.25">
      <c r="A25" s="16" t="s">
        <v>15</v>
      </c>
      <c r="B25" s="39" t="s">
        <v>4</v>
      </c>
      <c r="C25" s="7">
        <f>1500</f>
        <v>1500</v>
      </c>
      <c r="D25" s="7">
        <f>1500</f>
        <v>1500</v>
      </c>
      <c r="E25" s="7">
        <f>1500</f>
        <v>1500</v>
      </c>
      <c r="F25" s="7">
        <f>1500</f>
        <v>1500</v>
      </c>
      <c r="G25" s="7">
        <f>2000</f>
        <v>2000</v>
      </c>
      <c r="H25" s="7">
        <f>2500</f>
        <v>2500</v>
      </c>
      <c r="I25" s="7">
        <f>3000</f>
        <v>3000</v>
      </c>
      <c r="J25" s="7">
        <f>3500</f>
        <v>3500</v>
      </c>
      <c r="K25" s="7">
        <f>3500</f>
        <v>3500</v>
      </c>
      <c r="L25" s="7">
        <f>4000</f>
        <v>4000</v>
      </c>
      <c r="M25" s="7">
        <f>4000</f>
        <v>4000</v>
      </c>
      <c r="N25" s="7">
        <f>4000</f>
        <v>4000</v>
      </c>
      <c r="O25" s="37">
        <f t="shared" si="10"/>
        <v>32500</v>
      </c>
      <c r="P25" s="31">
        <f t="shared" si="11"/>
        <v>2.4913223410059162E-2</v>
      </c>
    </row>
    <row r="26" spans="1:17" ht="28.5" customHeight="1" x14ac:dyDescent="0.25">
      <c r="A26" s="16" t="s">
        <v>16</v>
      </c>
      <c r="B26" s="39" t="s">
        <v>25</v>
      </c>
      <c r="C26" s="7">
        <v>0</v>
      </c>
      <c r="D26" s="7">
        <v>0</v>
      </c>
      <c r="E26" s="7">
        <v>0</v>
      </c>
      <c r="F26" s="7">
        <f>20000</f>
        <v>20000</v>
      </c>
      <c r="G26" s="7">
        <f>25000</f>
        <v>25000</v>
      </c>
      <c r="H26" s="7">
        <f>25000</f>
        <v>25000</v>
      </c>
      <c r="I26" s="7">
        <f>25000</f>
        <v>25000</v>
      </c>
      <c r="J26" s="7">
        <f>50000</f>
        <v>50000</v>
      </c>
      <c r="K26" s="7">
        <f>55000</f>
        <v>55000</v>
      </c>
      <c r="L26" s="7">
        <f>65000</f>
        <v>65000</v>
      </c>
      <c r="M26" s="7">
        <f>70000</f>
        <v>70000</v>
      </c>
      <c r="N26" s="7">
        <f>100000</f>
        <v>100000</v>
      </c>
      <c r="O26" s="37">
        <f t="shared" si="10"/>
        <v>435000</v>
      </c>
      <c r="P26" s="31">
        <f t="shared" si="11"/>
        <v>0.33345391333463797</v>
      </c>
    </row>
    <row r="27" spans="1:17" ht="28.5" customHeight="1" x14ac:dyDescent="0.25">
      <c r="A27" s="16" t="s">
        <v>17</v>
      </c>
      <c r="B27" s="39" t="s">
        <v>24</v>
      </c>
      <c r="C27" s="7">
        <f>C26*0.13</f>
        <v>0</v>
      </c>
      <c r="D27" s="7">
        <f t="shared" ref="D27:N27" si="14">D26*0.13</f>
        <v>0</v>
      </c>
      <c r="E27" s="7">
        <f t="shared" si="14"/>
        <v>0</v>
      </c>
      <c r="F27" s="7">
        <f t="shared" si="14"/>
        <v>2600</v>
      </c>
      <c r="G27" s="7">
        <f t="shared" si="14"/>
        <v>3250</v>
      </c>
      <c r="H27" s="7">
        <f t="shared" si="14"/>
        <v>3250</v>
      </c>
      <c r="I27" s="7">
        <f t="shared" si="14"/>
        <v>3250</v>
      </c>
      <c r="J27" s="7">
        <f t="shared" si="14"/>
        <v>6500</v>
      </c>
      <c r="K27" s="7">
        <f t="shared" si="14"/>
        <v>7150</v>
      </c>
      <c r="L27" s="7">
        <f t="shared" si="14"/>
        <v>8450</v>
      </c>
      <c r="M27" s="7">
        <f t="shared" si="14"/>
        <v>9100</v>
      </c>
      <c r="N27" s="7">
        <f t="shared" si="14"/>
        <v>13000</v>
      </c>
      <c r="O27" s="37">
        <f t="shared" si="10"/>
        <v>56550</v>
      </c>
      <c r="P27" s="31">
        <f t="shared" si="11"/>
        <v>4.334900873350294E-2</v>
      </c>
    </row>
    <row r="28" spans="1:17" ht="28.5" customHeight="1" x14ac:dyDescent="0.25">
      <c r="A28" s="16" t="s">
        <v>18</v>
      </c>
      <c r="B28" s="39" t="s">
        <v>26</v>
      </c>
      <c r="C28" s="7">
        <f>(C26+C27)*0.302</f>
        <v>0</v>
      </c>
      <c r="D28" s="7">
        <f t="shared" ref="D28:N28" si="15">(D26+D27)*0.302</f>
        <v>0</v>
      </c>
      <c r="E28" s="7">
        <f t="shared" si="15"/>
        <v>0</v>
      </c>
      <c r="F28" s="7">
        <f t="shared" si="15"/>
        <v>6825.2</v>
      </c>
      <c r="G28" s="7">
        <f t="shared" si="15"/>
        <v>8531.5</v>
      </c>
      <c r="H28" s="7">
        <f t="shared" si="15"/>
        <v>8531.5</v>
      </c>
      <c r="I28" s="7">
        <f t="shared" si="15"/>
        <v>8531.5</v>
      </c>
      <c r="J28" s="7">
        <f t="shared" si="15"/>
        <v>17063</v>
      </c>
      <c r="K28" s="7">
        <f t="shared" si="15"/>
        <v>18769.3</v>
      </c>
      <c r="L28" s="7">
        <f t="shared" si="15"/>
        <v>22181.899999999998</v>
      </c>
      <c r="M28" s="7">
        <f t="shared" si="15"/>
        <v>23888.2</v>
      </c>
      <c r="N28" s="7">
        <f t="shared" si="15"/>
        <v>34126</v>
      </c>
      <c r="O28" s="37">
        <f t="shared" si="10"/>
        <v>148448.09999999998</v>
      </c>
      <c r="P28" s="31">
        <f t="shared" si="11"/>
        <v>0.11379448246457854</v>
      </c>
    </row>
    <row r="29" spans="1:17" ht="28.5" customHeight="1" x14ac:dyDescent="0.25">
      <c r="A29" s="16" t="s">
        <v>19</v>
      </c>
      <c r="B29" s="39" t="s">
        <v>2</v>
      </c>
      <c r="C29" s="7">
        <f t="shared" ref="C29:N29" si="16">C18*0.06</f>
        <v>1500</v>
      </c>
      <c r="D29" s="7">
        <f t="shared" si="16"/>
        <v>2400</v>
      </c>
      <c r="E29" s="7">
        <f t="shared" si="16"/>
        <v>3930</v>
      </c>
      <c r="F29" s="7">
        <f t="shared" si="16"/>
        <v>5130</v>
      </c>
      <c r="G29" s="7">
        <f t="shared" si="16"/>
        <v>6570</v>
      </c>
      <c r="H29" s="7">
        <f t="shared" si="16"/>
        <v>8250</v>
      </c>
      <c r="I29" s="7">
        <f t="shared" si="16"/>
        <v>10710</v>
      </c>
      <c r="J29" s="7">
        <f t="shared" si="16"/>
        <v>12330</v>
      </c>
      <c r="K29" s="7">
        <f t="shared" si="16"/>
        <v>12810</v>
      </c>
      <c r="L29" s="7">
        <f t="shared" si="16"/>
        <v>14490</v>
      </c>
      <c r="M29" s="7">
        <f t="shared" si="16"/>
        <v>15090</v>
      </c>
      <c r="N29" s="7">
        <f t="shared" si="16"/>
        <v>19980</v>
      </c>
      <c r="O29" s="37">
        <f t="shared" si="10"/>
        <v>113190</v>
      </c>
      <c r="P29" s="31">
        <f t="shared" si="11"/>
        <v>8.6767007931833728E-2</v>
      </c>
    </row>
    <row r="30" spans="1:17" ht="28.5" customHeight="1" x14ac:dyDescent="0.25">
      <c r="A30" s="16" t="s">
        <v>20</v>
      </c>
      <c r="B30" s="39" t="s">
        <v>5</v>
      </c>
      <c r="C30" s="7">
        <v>3020</v>
      </c>
      <c r="D30" s="7">
        <f>C30</f>
        <v>3020</v>
      </c>
      <c r="E30" s="7">
        <f t="shared" ref="E30:N30" si="17">D30</f>
        <v>3020</v>
      </c>
      <c r="F30" s="7">
        <f t="shared" si="17"/>
        <v>3020</v>
      </c>
      <c r="G30" s="7">
        <f t="shared" si="17"/>
        <v>3020</v>
      </c>
      <c r="H30" s="7">
        <f t="shared" si="17"/>
        <v>3020</v>
      </c>
      <c r="I30" s="7">
        <f t="shared" si="17"/>
        <v>3020</v>
      </c>
      <c r="J30" s="7">
        <f t="shared" si="17"/>
        <v>3020</v>
      </c>
      <c r="K30" s="7">
        <f t="shared" si="17"/>
        <v>3020</v>
      </c>
      <c r="L30" s="7">
        <f t="shared" si="17"/>
        <v>3020</v>
      </c>
      <c r="M30" s="7">
        <f t="shared" si="17"/>
        <v>3020</v>
      </c>
      <c r="N30" s="7">
        <f t="shared" si="17"/>
        <v>3020</v>
      </c>
      <c r="O30" s="37">
        <f t="shared" si="10"/>
        <v>36240</v>
      </c>
      <c r="P30" s="31">
        <f t="shared" si="11"/>
        <v>2.7780160504016736E-2</v>
      </c>
    </row>
    <row r="31" spans="1:17" ht="28.5" customHeight="1" x14ac:dyDescent="0.25">
      <c r="A31" s="16" t="s">
        <v>59</v>
      </c>
      <c r="B31" s="39" t="s">
        <v>7</v>
      </c>
      <c r="C31" s="7">
        <v>29600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37">
        <f t="shared" si="10"/>
        <v>29600</v>
      </c>
      <c r="P31" s="31">
        <f t="shared" si="11"/>
        <v>2.2690197321161575E-2</v>
      </c>
      <c r="Q31" s="3"/>
    </row>
    <row r="32" spans="1:17" ht="22.5" customHeight="1" x14ac:dyDescent="0.25">
      <c r="A32" s="29"/>
      <c r="B32" s="41" t="s">
        <v>52</v>
      </c>
      <c r="C32" s="37">
        <f>SUM(C21:C31)</f>
        <v>135620</v>
      </c>
      <c r="D32" s="37">
        <f t="shared" ref="D32:N32" si="18">SUM(D21:D31)</f>
        <v>32920</v>
      </c>
      <c r="E32" s="37">
        <f t="shared" si="18"/>
        <v>31450</v>
      </c>
      <c r="F32" s="37">
        <f t="shared" si="18"/>
        <v>60075.199999999997</v>
      </c>
      <c r="G32" s="37">
        <f t="shared" si="18"/>
        <v>69371.5</v>
      </c>
      <c r="H32" s="37">
        <f t="shared" si="18"/>
        <v>71551.5</v>
      </c>
      <c r="I32" s="37">
        <f t="shared" si="18"/>
        <v>74511.5</v>
      </c>
      <c r="J32" s="37">
        <f t="shared" si="18"/>
        <v>192413</v>
      </c>
      <c r="K32" s="37">
        <f t="shared" si="18"/>
        <v>130249.3</v>
      </c>
      <c r="L32" s="37">
        <f t="shared" si="18"/>
        <v>147141.9</v>
      </c>
      <c r="M32" s="37">
        <f t="shared" si="18"/>
        <v>155098.20000000001</v>
      </c>
      <c r="N32" s="37">
        <f t="shared" si="18"/>
        <v>204126</v>
      </c>
      <c r="O32" s="34">
        <f>SUM(C32:N32)</f>
        <v>1304528.1000000001</v>
      </c>
      <c r="P32" s="31">
        <f t="shared" si="11"/>
        <v>1</v>
      </c>
    </row>
    <row r="33" spans="2:16" x14ac:dyDescent="0.25">
      <c r="O33" s="20">
        <f>SUM(O21:O31)</f>
        <v>1304528.1000000001</v>
      </c>
      <c r="P33" s="2">
        <f t="shared" si="11"/>
        <v>1</v>
      </c>
    </row>
    <row r="34" spans="2:16" ht="18.75" x14ac:dyDescent="0.25">
      <c r="B34" s="40" t="s">
        <v>54</v>
      </c>
      <c r="C34" s="45">
        <f>C18-C32</f>
        <v>-110620</v>
      </c>
      <c r="D34" s="55">
        <f t="shared" ref="D34:N34" si="19">D18-D32</f>
        <v>7080</v>
      </c>
      <c r="E34" s="45">
        <f t="shared" si="19"/>
        <v>34050</v>
      </c>
      <c r="F34" s="45">
        <f t="shared" si="19"/>
        <v>25424.800000000003</v>
      </c>
      <c r="G34" s="45">
        <f t="shared" si="19"/>
        <v>40128.5</v>
      </c>
      <c r="H34" s="45">
        <f t="shared" si="19"/>
        <v>65948.5</v>
      </c>
      <c r="I34" s="45">
        <f t="shared" si="19"/>
        <v>103988.5</v>
      </c>
      <c r="J34" s="45">
        <f t="shared" si="19"/>
        <v>13087</v>
      </c>
      <c r="K34" s="45">
        <f t="shared" si="19"/>
        <v>83250.7</v>
      </c>
      <c r="L34" s="45">
        <f t="shared" si="19"/>
        <v>94358.1</v>
      </c>
      <c r="M34" s="45">
        <f t="shared" si="19"/>
        <v>96401.799999999988</v>
      </c>
      <c r="N34" s="45">
        <f t="shared" si="19"/>
        <v>128874</v>
      </c>
      <c r="O34" s="46">
        <f>SUM(C34:N34)</f>
        <v>581971.89999999991</v>
      </c>
      <c r="P34" s="44">
        <f>O18-O32</f>
        <v>581971.89999999991</v>
      </c>
    </row>
    <row r="35" spans="2:16" ht="18.75" x14ac:dyDescent="0.2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3"/>
    </row>
    <row r="36" spans="2:16" ht="18.75" x14ac:dyDescent="0.25">
      <c r="B36" s="40" t="s">
        <v>55</v>
      </c>
      <c r="C36" s="45">
        <f>C34</f>
        <v>-110620</v>
      </c>
      <c r="D36" s="45">
        <f>C36+D34</f>
        <v>-103540</v>
      </c>
      <c r="E36" s="45">
        <f t="shared" ref="E36:N36" si="20">D36+E34</f>
        <v>-69490</v>
      </c>
      <c r="F36" s="45">
        <f t="shared" si="20"/>
        <v>-44065.2</v>
      </c>
      <c r="G36" s="45">
        <f t="shared" si="20"/>
        <v>-3936.6999999999971</v>
      </c>
      <c r="H36" s="56">
        <f t="shared" si="20"/>
        <v>62011.8</v>
      </c>
      <c r="I36" s="45">
        <f t="shared" si="20"/>
        <v>166000.29999999999</v>
      </c>
      <c r="J36" s="45">
        <f t="shared" si="20"/>
        <v>179087.3</v>
      </c>
      <c r="K36" s="45">
        <f t="shared" si="20"/>
        <v>262338</v>
      </c>
      <c r="L36" s="45">
        <f t="shared" si="20"/>
        <v>356696.1</v>
      </c>
      <c r="M36" s="45">
        <f t="shared" si="20"/>
        <v>453097.89999999997</v>
      </c>
      <c r="N36" s="47">
        <f t="shared" si="20"/>
        <v>581971.89999999991</v>
      </c>
      <c r="O36" s="40"/>
      <c r="P36" s="43"/>
    </row>
    <row r="38" spans="2:16" x14ac:dyDescent="0.25">
      <c r="B38" s="2" t="s">
        <v>56</v>
      </c>
      <c r="C38" s="20">
        <f>99600</f>
        <v>99600</v>
      </c>
      <c r="D38" s="20">
        <f>6000</f>
        <v>6000</v>
      </c>
      <c r="E38" s="20">
        <f>6000</f>
        <v>6000</v>
      </c>
      <c r="F38" s="20">
        <f>6000</f>
        <v>6000</v>
      </c>
      <c r="G38" s="20"/>
      <c r="H38" s="20"/>
      <c r="I38" s="20"/>
      <c r="J38" s="20"/>
      <c r="K38" s="20"/>
      <c r="L38" s="20"/>
      <c r="M38" s="20"/>
      <c r="N38" s="20"/>
      <c r="O38" s="20">
        <f>SUM(C38:N38)</f>
        <v>117600</v>
      </c>
      <c r="P38" s="20"/>
    </row>
    <row r="39" spans="2:16" x14ac:dyDescent="0.25">
      <c r="B39" s="2" t="s">
        <v>57</v>
      </c>
      <c r="C39" s="20">
        <f>30000</f>
        <v>30000</v>
      </c>
      <c r="D39" s="20">
        <v>20000</v>
      </c>
      <c r="E39" s="20">
        <v>17000</v>
      </c>
      <c r="F39" s="20">
        <v>15000</v>
      </c>
      <c r="G39" s="20">
        <v>6000</v>
      </c>
      <c r="H39" s="20">
        <v>6000</v>
      </c>
      <c r="I39" s="20">
        <v>6000</v>
      </c>
      <c r="J39" s="20"/>
      <c r="K39" s="20"/>
      <c r="L39" s="20"/>
      <c r="M39" s="20"/>
      <c r="N39" s="20"/>
      <c r="O39" s="20">
        <f>SUM(C39:N39)</f>
        <v>100000</v>
      </c>
    </row>
    <row r="41" spans="2:16" x14ac:dyDescent="0.25">
      <c r="B41" s="2" t="s">
        <v>58</v>
      </c>
      <c r="C41" s="20">
        <f>C36+C38+C39</f>
        <v>18980</v>
      </c>
      <c r="D41" s="20">
        <f>D34+C41+D38+D39</f>
        <v>52060</v>
      </c>
      <c r="E41" s="20">
        <f t="shared" ref="E41:N41" si="21">E34+D41+E38+E39</f>
        <v>109110</v>
      </c>
      <c r="F41" s="20">
        <f t="shared" si="21"/>
        <v>155534.79999999999</v>
      </c>
      <c r="G41" s="20">
        <f t="shared" si="21"/>
        <v>201663.3</v>
      </c>
      <c r="H41" s="20">
        <f t="shared" si="21"/>
        <v>273611.8</v>
      </c>
      <c r="I41" s="20">
        <f t="shared" si="21"/>
        <v>383600.3</v>
      </c>
      <c r="J41" s="20">
        <f t="shared" si="21"/>
        <v>396687.3</v>
      </c>
      <c r="K41" s="20">
        <f t="shared" si="21"/>
        <v>479938</v>
      </c>
      <c r="L41" s="20">
        <f t="shared" si="21"/>
        <v>574296.1</v>
      </c>
      <c r="M41" s="20">
        <f t="shared" si="21"/>
        <v>670697.89999999991</v>
      </c>
      <c r="N41" s="20">
        <f t="shared" si="21"/>
        <v>799571.89999999991</v>
      </c>
      <c r="O41" s="20">
        <f>N41</f>
        <v>799571.89999999991</v>
      </c>
    </row>
    <row r="42" spans="2:16" x14ac:dyDescent="0.25">
      <c r="N42" s="20"/>
      <c r="O42" s="20">
        <f>SUM(C38:N39)</f>
        <v>217600</v>
      </c>
    </row>
    <row r="43" spans="2:16" x14ac:dyDescent="0.25">
      <c r="N43" s="20"/>
      <c r="O43" s="48">
        <f>O41-O42</f>
        <v>581971.89999999991</v>
      </c>
    </row>
    <row r="44" spans="2:16" x14ac:dyDescent="0.25">
      <c r="G44" s="58" t="s">
        <v>63</v>
      </c>
    </row>
    <row r="45" spans="2:16" x14ac:dyDescent="0.25">
      <c r="I45" s="57" t="s">
        <v>64</v>
      </c>
      <c r="N45" s="42"/>
    </row>
    <row r="46" spans="2:16" ht="18.75" x14ac:dyDescent="0.25">
      <c r="M46" s="51"/>
      <c r="N46" s="52" t="s">
        <v>70</v>
      </c>
      <c r="O46" s="53">
        <f>O34/O32</f>
        <v>0.4461167988638956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  <ignoredErrors>
    <ignoredError sqref="F25 J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Движение ден средств</vt:lpstr>
      <vt:lpstr>Услуги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Mark</cp:lastModifiedBy>
  <cp:lastPrinted>2019-10-16T12:00:03Z</cp:lastPrinted>
  <dcterms:created xsi:type="dcterms:W3CDTF">2019-02-27T08:59:32Z</dcterms:created>
  <dcterms:modified xsi:type="dcterms:W3CDTF">2019-10-18T10:39:32Z</dcterms:modified>
</cp:coreProperties>
</file>